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7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0" yWindow="270" windowWidth="17775" windowHeight="10875" tabRatio="829" activeTab="7"/>
  </bookViews>
  <sheets>
    <sheet name="ライセンス" sheetId="1" r:id="rId1"/>
    <sheet name="能力" sheetId="2" r:id="rId2"/>
    <sheet name="技能" sheetId="3" r:id="rId3"/>
    <sheet name="装備" sheetId="4" r:id="rId4"/>
    <sheet name="呪文1" sheetId="5" r:id="rId5"/>
    <sheet name="呪文2" sheetId="6" r:id="rId6"/>
    <sheet name="パワー" sheetId="7" r:id="rId7"/>
    <sheet name=" 印刷" sheetId="8" r:id="rId8"/>
    <sheet name="NPC出力" sheetId="9" r:id="rId9"/>
  </sheets>
  <definedNames>
    <definedName name="_xlnm.Print_Area" localSheetId="7">' 印刷'!$A$1:$CW$251</definedName>
    <definedName name="_xlnm.Print_Area" localSheetId="8">'NPC出力'!$A$2:$C$20</definedName>
  </definedNames>
  <calcPr fullCalcOnLoad="1"/>
</workbook>
</file>

<file path=xl/comments2.xml><?xml version="1.0" encoding="utf-8"?>
<comments xmlns="http://schemas.openxmlformats.org/spreadsheetml/2006/main">
  <authors>
    <author>J-staff</author>
    <author>加藤恵介</author>
    <author>DM-SKM</author>
    <author>Ishikawa</author>
    <author>TEIJIN</author>
    <author>HAL</author>
    <author>ISHIKAWAYu-ichiro</author>
    <author>J</author>
  </authors>
  <commentList>
    <comment ref="M38" authorId="0">
      <text>
        <r>
          <rPr>
            <b/>
            <sz val="9"/>
            <rFont val="ＭＳ Ｐゴシック"/>
            <family val="3"/>
          </rPr>
          <t xml:space="preserve">
　ＨＤの出目＋【耐】修正値を記入
　（最低でも1点のｈｐは得られる）
　＊1レベル目の場合、ＨＤの出目
　の最大値＋【耐】修正値を記入＊
  SkillのFavored Classの所に"0"と記入してある場合+1される</t>
        </r>
      </text>
    </comment>
    <comment ref="O38" authorId="0">
      <text>
        <r>
          <rPr>
            <b/>
            <sz val="9"/>
            <rFont val="ＭＳ Ｐゴシック"/>
            <family val="3"/>
          </rPr>
          <t xml:space="preserve">
　基本攻撃ボーナスの
　上昇時に1を入力</t>
        </r>
      </text>
    </comment>
    <comment ref="F38" authorId="0">
      <text>
        <r>
          <rPr>
            <b/>
            <sz val="9"/>
            <rFont val="ＭＳ Ｐゴシック"/>
            <family val="3"/>
          </rPr>
          <t xml:space="preserve">
　クラス名を記入（Ｗｉｚ，Ｃｌｒ
　など、略称が望ましい； 
　技能シートのみに反映）</t>
        </r>
      </text>
    </comment>
    <comment ref="AS20" authorId="0">
      <text>
        <r>
          <rPr>
            <b/>
            <sz val="9"/>
            <rFont val="ＭＳ Ｐゴシック"/>
            <family val="3"/>
          </rPr>
          <t xml:space="preserve">
　レベル調整値
　を記入</t>
        </r>
      </text>
    </comment>
    <comment ref="M34" authorId="0">
      <text>
        <r>
          <rPr>
            <b/>
            <sz val="9"/>
            <rFont val="ＭＳ Ｐゴシック"/>
            <family val="3"/>
          </rPr>
          <t xml:space="preserve">
　《追加ｈｐ》などで追加
　されるｈｐを記入</t>
        </r>
      </text>
    </comment>
    <comment ref="AA81" authorId="0">
      <text>
        <r>
          <rPr>
            <b/>
            <sz val="9"/>
            <rFont val="ＭＳ Ｐゴシック"/>
            <family val="3"/>
          </rPr>
          <t xml:space="preserve">
　機会攻撃の有無を
　Yes/Noで記入
　（必須ではない）</t>
        </r>
      </text>
    </comment>
    <comment ref="AX98" authorId="0">
      <text>
        <r>
          <rPr>
            <b/>
            <sz val="9"/>
            <rFont val="ＭＳ Ｐゴシック"/>
            <family val="3"/>
          </rPr>
          <t>J-staff:</t>
        </r>
        <r>
          <rPr>
            <sz val="9"/>
            <rFont val="ＭＳ Ｐゴシック"/>
            <family val="3"/>
          </rPr>
          <t xml:space="preserve">
斬撃/刺突/殴打等の種別を記入</t>
        </r>
      </text>
    </comment>
    <comment ref="W38" authorId="0">
      <text>
        <r>
          <rPr>
            <b/>
            <sz val="9"/>
            <rFont val="ＭＳ Ｐゴシック"/>
            <family val="3"/>
          </rPr>
          <t xml:space="preserve">
　クラスによる基本セーヴ
　の上昇値を記入</t>
        </r>
      </text>
    </comment>
    <comment ref="C1" authorId="0">
      <text>
        <r>
          <rPr>
            <b/>
            <sz val="9"/>
            <rFont val="ＭＳ Ｐゴシック"/>
            <family val="3"/>
          </rPr>
          <t xml:space="preserve">
　黄バックはテキストを記入
　緑バックは数値を記入
　灰バックは記入不要</t>
        </r>
      </text>
    </comment>
    <comment ref="I38" authorId="1">
      <text>
        <r>
          <rPr>
            <b/>
            <sz val="9"/>
            <rFont val="ＭＳ Ｐゴシック"/>
            <family val="3"/>
          </rPr>
          <t xml:space="preserve">
　ＨＤの種類、6などを
　記入</t>
        </r>
      </text>
    </comment>
    <comment ref="K38" authorId="1">
      <text>
        <r>
          <rPr>
            <b/>
            <sz val="9"/>
            <rFont val="ＭＳ Ｐゴシック"/>
            <family val="3"/>
          </rPr>
          <t xml:space="preserve">
　固定値（平均値）のルールを採用している場合の
　値を自動的に算出する
　（固定値のルールを非採用の場合、数式を削除する）
</t>
        </r>
      </text>
    </comment>
    <comment ref="AG15" authorId="1">
      <text>
        <r>
          <rPr>
            <b/>
            <sz val="9"/>
            <rFont val="ＭＳ Ｐゴシック"/>
            <family val="3"/>
          </rPr>
          <t xml:space="preserve">
　特技によるボーナスを
　記入</t>
        </r>
      </text>
    </comment>
    <comment ref="AI15" authorId="1">
      <text>
        <r>
          <rPr>
            <b/>
            <sz val="9"/>
            <rFont val="ＭＳ Ｐゴシック"/>
            <family val="3"/>
          </rPr>
          <t xml:space="preserve">
　その他の修正値を
　記入</t>
        </r>
      </text>
    </comment>
    <comment ref="Z18" authorId="2">
      <text>
        <r>
          <rPr>
            <b/>
            <sz val="9"/>
            <rFont val="ＭＳ Ｐゴシック"/>
            <family val="3"/>
          </rPr>
          <t xml:space="preserve">
　能力値を
　記入</t>
        </r>
      </text>
    </comment>
    <comment ref="H15" authorId="2">
      <text>
        <r>
          <rPr>
            <b/>
            <sz val="9"/>
            <rFont val="ＭＳ Ｐゴシック"/>
            <family val="3"/>
          </rPr>
          <t xml:space="preserve">
　規定のポイント数を入力</t>
        </r>
      </text>
    </comment>
    <comment ref="AZ35" authorId="3">
      <text>
        <r>
          <rPr>
            <b/>
            <sz val="8"/>
            <rFont val="ＭＳ Ｐゴシック"/>
            <family val="3"/>
          </rPr>
          <t xml:space="preserve">
　技能ポイントへの
　種族ボーナス
　（人間なら1）を
　記入</t>
        </r>
      </text>
    </comment>
    <comment ref="AQ63" authorId="4">
      <text>
        <r>
          <rPr>
            <b/>
            <sz val="9"/>
            <rFont val="ＭＳ Ｐゴシック"/>
            <family val="3"/>
          </rPr>
          <t xml:space="preserve">
　クラス・種族・テン
　プレートなどの特
　殊能力を記入、
　特殊攻撃に属する
　能力はチェック
　する(NPC出力用な
　ので必ずしもチェック
　する必要はない)</t>
        </r>
      </text>
    </comment>
    <comment ref="AE15" authorId="1">
      <text>
        <r>
          <rPr>
            <b/>
            <sz val="9"/>
            <rFont val="ＭＳ Ｐゴシック"/>
            <family val="3"/>
          </rPr>
          <t xml:space="preserve">
　イニシアチブ修正
　の合計を表示</t>
        </r>
      </text>
    </comment>
    <comment ref="S69" authorId="0">
      <text>
        <r>
          <rPr>
            <b/>
            <sz val="9"/>
            <rFont val="ＭＳ Ｐゴシック"/>
            <family val="3"/>
          </rPr>
          <t xml:space="preserve">
　呪文数を記入</t>
        </r>
      </text>
    </comment>
    <comment ref="AF3" authorId="5">
      <text>
        <r>
          <rPr>
            <b/>
            <sz val="9"/>
            <rFont val="ＭＳ Ｐゴシック"/>
            <family val="3"/>
          </rPr>
          <t xml:space="preserve">
　記入例） 6'6'' など</t>
        </r>
      </text>
    </comment>
    <comment ref="AO98" authorId="5">
      <text>
        <r>
          <rPr>
            <b/>
            <sz val="9"/>
            <rFont val="ＭＳ Ｐゴシック"/>
            <family val="3"/>
          </rPr>
          <t xml:space="preserve">
　＋、－を付けて記入
　（その際、先頭に「 ' 」
　を記入する）
　例）　'＋1d6</t>
        </r>
      </text>
    </comment>
    <comment ref="AQ60" authorId="5">
      <text>
        <r>
          <rPr>
            <b/>
            <sz val="9"/>
            <rFont val="ＭＳ Ｐゴシック"/>
            <family val="3"/>
          </rPr>
          <t xml:space="preserve">
　経験点を記入
　（記入しない場合、「印刷する」
　シートの”経験点・次のレベル
　まで”の項目が空欄になる）</t>
        </r>
      </text>
    </comment>
    <comment ref="AN63" authorId="5">
      <text>
        <r>
          <rPr>
            <b/>
            <sz val="9"/>
            <rFont val="ＭＳ Ｐゴシック"/>
            <family val="3"/>
          </rPr>
          <t xml:space="preserve">
　その能力を得たクラス・種族・
　テンプレート名・レベルなどを
　記入（印刷に反映はされるが、
　必須ではない）</t>
        </r>
      </text>
    </comment>
    <comment ref="AC81" authorId="5">
      <text>
        <r>
          <rPr>
            <b/>
            <sz val="9"/>
            <rFont val="ＭＳ Ｐゴシック"/>
            <family val="3"/>
          </rPr>
          <t xml:space="preserve">
　間合いを記入
　（必須ではない）</t>
        </r>
      </text>
    </comment>
    <comment ref="C68" authorId="5">
      <text>
        <r>
          <rPr>
            <b/>
            <sz val="9"/>
            <rFont val="ＭＳ Ｐゴシック"/>
            <family val="3"/>
          </rPr>
          <t xml:space="preserve">
　呪文を発動する
　クラス名を記入</t>
        </r>
      </text>
    </comment>
    <comment ref="C76" authorId="5">
      <text>
        <r>
          <rPr>
            <b/>
            <sz val="9"/>
            <rFont val="ＭＳ Ｐゴシック"/>
            <family val="3"/>
          </rPr>
          <t xml:space="preserve">
　パワーを発現する
　クラス名を記入</t>
        </r>
      </text>
    </comment>
    <comment ref="AW27" authorId="5">
      <text>
        <r>
          <rPr>
            <b/>
            <sz val="9"/>
            <rFont val="ＭＳ Ｐゴシック"/>
            <family val="3"/>
          </rPr>
          <t xml:space="preserve">
　適性クラスを記入
　（必須ではない）</t>
        </r>
      </text>
    </comment>
    <comment ref="T21" authorId="5">
      <text>
        <r>
          <rPr>
            <sz val="9"/>
            <rFont val="ＭＳ Ｐゴシック"/>
            <family val="3"/>
          </rPr>
          <t xml:space="preserve">
　</t>
        </r>
        <r>
          <rPr>
            <b/>
            <sz val="8"/>
            <rFont val="ＭＳ Ｐゴシック"/>
            <family val="3"/>
          </rPr>
          <t>このボーナスを得た場合、
　技能シートにも記入する</t>
        </r>
      </text>
    </comment>
    <comment ref="BA30" authorId="5">
      <text>
        <r>
          <rPr>
            <b/>
            <sz val="9"/>
            <rFont val="ＭＳ Ｐゴシック"/>
            <family val="3"/>
          </rPr>
          <t xml:space="preserve">
　習熟のクラス名
　などを記入</t>
        </r>
      </text>
    </comment>
    <comment ref="AS19" authorId="0">
      <text>
        <r>
          <rPr>
            <b/>
            <sz val="9"/>
            <rFont val="ＭＳ Ｐゴシック"/>
            <family val="3"/>
          </rPr>
          <t xml:space="preserve">
　種族ＨＤ数を
　記入</t>
        </r>
      </text>
    </comment>
    <comment ref="AJ35" authorId="6">
      <text>
        <r>
          <rPr>
            <sz val="9"/>
            <rFont val="ＭＳ Ｐゴシック"/>
            <family val="3"/>
          </rPr>
          <t xml:space="preserve">人間（など）ならここに特技名を記入
</t>
        </r>
      </text>
    </comment>
    <comment ref="AZ11" authorId="3">
      <text>
        <r>
          <rPr>
            <b/>
            <sz val="9"/>
            <rFont val="ＭＳ Ｐゴシック"/>
            <family val="3"/>
          </rPr>
          <t>追加分（フィート）の数値をここに記入</t>
        </r>
        <r>
          <rPr>
            <sz val="9"/>
            <rFont val="ＭＳ Ｐゴシック"/>
            <family val="3"/>
          </rPr>
          <t xml:space="preserve">
</t>
        </r>
      </text>
    </comment>
    <comment ref="BG11" authorId="3">
      <text>
        <r>
          <rPr>
            <b/>
            <sz val="9"/>
            <rFont val="ＭＳ Ｐゴシック"/>
            <family val="3"/>
          </rPr>
          <t>追加分（フィート）の数値をここに記入</t>
        </r>
        <r>
          <rPr>
            <sz val="9"/>
            <rFont val="ＭＳ Ｐゴシック"/>
            <family val="3"/>
          </rPr>
          <t xml:space="preserve">
</t>
        </r>
      </text>
    </comment>
    <comment ref="BB38" authorId="7">
      <text>
        <r>
          <rPr>
            <b/>
            <sz val="9"/>
            <rFont val="ＭＳ Ｐゴシック"/>
            <family val="3"/>
          </rPr>
          <t>Favored ClassによるボーナスをSkillに適用するなら1を、HPに適用するなら0を記入 (ボーナスはHP+1またはSkill+1)
Favored Classでない場合には空白にしておくこと。</t>
        </r>
      </text>
    </comment>
  </commentList>
</comments>
</file>

<file path=xl/comments3.xml><?xml version="1.0" encoding="utf-8"?>
<comments xmlns="http://schemas.openxmlformats.org/spreadsheetml/2006/main">
  <authors>
    <author>J-staff</author>
    <author>J</author>
  </authors>
  <commentList>
    <comment ref="F6" authorId="0">
      <text>
        <r>
          <rPr>
            <b/>
            <sz val="9"/>
            <rFont val="ＭＳ Ｐゴシック"/>
            <family val="3"/>
          </rPr>
          <t xml:space="preserve">
　【知力】 増加時の追加技能ポイントを
　自動計算
　（中途加齢時･体得ボーナス獲得時は
　下欄にそれらの修正値を記入）</t>
        </r>
      </text>
    </comment>
    <comment ref="G10" authorId="1">
      <text>
        <r>
          <rPr>
            <b/>
            <sz val="9"/>
            <rFont val="ＭＳ Ｐゴシック"/>
            <family val="3"/>
          </rPr>
          <t>Class Skillであれば何かを入力して空白以外にする。そうで無ければ空白のままでOK。</t>
        </r>
      </text>
    </comment>
  </commentList>
</comments>
</file>

<file path=xl/comments4.xml><?xml version="1.0" encoding="utf-8"?>
<comments xmlns="http://schemas.openxmlformats.org/spreadsheetml/2006/main">
  <authors>
    <author>HAL</author>
    <author>Segi</author>
    <author>ISHIKAWAYu-ichiro</author>
    <author>DM-SKM</author>
  </authors>
  <commentList>
    <comment ref="K2" authorId="0">
      <text>
        <r>
          <rPr>
            <b/>
            <sz val="9"/>
            <rFont val="ＭＳ Ｐゴシック"/>
            <family val="3"/>
          </rPr>
          <t xml:space="preserve">
　このキャラクターが所持しているアイテムの価格と、硬貨の価値を
　合計した値を自動的に算出する。
　（作成時は、開始時所持金と等しくなるように調整すること）
　＊この表によっては、アイテムとその重量を管理しない場合、
　これらの欄には何も記入しない。</t>
        </r>
      </text>
    </comment>
    <comment ref="B3" authorId="1">
      <text>
        <r>
          <rPr>
            <b/>
            <sz val="9"/>
            <rFont val="ＭＳ Ｐゴシック"/>
            <family val="3"/>
          </rPr>
          <t>初期作成時の予算額を記入する。</t>
        </r>
      </text>
    </comment>
    <comment ref="K6" authorId="0">
      <text>
        <r>
          <rPr>
            <b/>
            <sz val="10"/>
            <rFont val="ＭＳ Ｐゴシック"/>
            <family val="3"/>
          </rPr>
          <t>　総財産額から購入分
　を引いた金額が出る。
　あるいは所持している
　硬貨の合計金額を
　記入する。</t>
        </r>
      </text>
    </comment>
    <comment ref="N7" authorId="2">
      <text>
        <r>
          <rPr>
            <b/>
            <sz val="9"/>
            <rFont val="ＭＳ Ｐゴシック"/>
            <family val="3"/>
          </rPr>
          <t xml:space="preserve">
　小数点第2位で
　切り上げ計算</t>
        </r>
      </text>
    </comment>
    <comment ref="O10" authorId="3">
      <text>
        <r>
          <rPr>
            <b/>
            <sz val="9"/>
            <rFont val="ＭＳ Ｐゴシック"/>
            <family val="3"/>
          </rPr>
          <t xml:space="preserve">
　盾ボーナスか鎧ボーナスを与える
　その他の防具は、鎧や盾と累積する
　場合、(累積)を選択する。
　鎧や盾ボーナスでないものは、
　能力シートに記入でも可。
　この部分に記入するアイテムは、
　対接触攻撃のＡＣに加算されない
　ので注意。</t>
        </r>
      </text>
    </comment>
    <comment ref="R12" authorId="0">
      <text>
        <r>
          <rPr>
            <b/>
            <sz val="9"/>
            <rFont val="ＭＳ Ｐゴシック"/>
            <family val="3"/>
          </rPr>
          <t xml:space="preserve">
　"-"をつけて記入する
　例）-5</t>
        </r>
      </text>
    </comment>
    <comment ref="B43" authorId="0">
      <text>
        <r>
          <rPr>
            <b/>
            <sz val="9"/>
            <rFont val="ＭＳ Ｐゴシック"/>
            <family val="3"/>
          </rPr>
          <t xml:space="preserve">
　チャージ数が
　あるアイテム
　を記入できる</t>
        </r>
      </text>
    </comment>
  </commentList>
</comments>
</file>

<file path=xl/comments5.xml><?xml version="1.0" encoding="utf-8"?>
<comments xmlns="http://schemas.openxmlformats.org/spreadsheetml/2006/main">
  <authors>
    <author>HAL</author>
  </authors>
  <commentList>
    <comment ref="B13" authorId="0">
      <text>
        <r>
          <rPr>
            <b/>
            <sz val="11"/>
            <rFont val="HGPｺﾞｼｯｸM"/>
            <family val="3"/>
          </rPr>
          <t xml:space="preserve">
　</t>
        </r>
        <r>
          <rPr>
            <b/>
            <sz val="11"/>
            <rFont val="ＭＳ Ｐゴシック"/>
            <family val="3"/>
          </rPr>
          <t>習得している呪文を記入（必須
　ではない）</t>
        </r>
      </text>
    </comment>
  </commentList>
</comments>
</file>

<file path=xl/comments6.xml><?xml version="1.0" encoding="utf-8"?>
<comments xmlns="http://schemas.openxmlformats.org/spreadsheetml/2006/main">
  <authors>
    <author>HAL</author>
  </authors>
  <commentList>
    <comment ref="B13" authorId="0">
      <text>
        <r>
          <rPr>
            <b/>
            <sz val="11"/>
            <rFont val="HGPｺﾞｼｯｸM"/>
            <family val="3"/>
          </rPr>
          <t xml:space="preserve">
　</t>
        </r>
        <r>
          <rPr>
            <b/>
            <sz val="11"/>
            <rFont val="ＭＳ Ｐゴシック"/>
            <family val="3"/>
          </rPr>
          <t>習得している呪文を記入（必須
　ではない）</t>
        </r>
      </text>
    </comment>
  </commentList>
</comments>
</file>

<file path=xl/comments7.xml><?xml version="1.0" encoding="utf-8"?>
<comments xmlns="http://schemas.openxmlformats.org/spreadsheetml/2006/main">
  <authors>
    <author>HAL</author>
  </authors>
  <commentList>
    <comment ref="F9" authorId="0">
      <text>
        <r>
          <rPr>
            <b/>
            <sz val="11"/>
            <rFont val="ＭＳ Ｐゴシック"/>
            <family val="3"/>
          </rPr>
          <t xml:space="preserve">
　XPHの基本クラス以外
　の場合、1日の
　パワー・ポイント数を
　直接記入する</t>
        </r>
      </text>
    </comment>
    <comment ref="B17" authorId="0">
      <text>
        <r>
          <rPr>
            <b/>
            <sz val="11"/>
            <rFont val="HGPｺﾞｼｯｸM"/>
            <family val="3"/>
          </rPr>
          <t xml:space="preserve">
　</t>
        </r>
        <r>
          <rPr>
            <b/>
            <sz val="11"/>
            <rFont val="ＭＳ Ｐゴシック"/>
            <family val="3"/>
          </rPr>
          <t>習得しているパワーを記入（必須
　ではない）</t>
        </r>
      </text>
    </comment>
  </commentList>
</comments>
</file>

<file path=xl/comments9.xml><?xml version="1.0" encoding="utf-8"?>
<comments xmlns="http://schemas.openxmlformats.org/spreadsheetml/2006/main">
  <authors>
    <author>TEIJIN</author>
  </authors>
  <commentList>
    <comment ref="D1" authorId="0">
      <text>
        <r>
          <rPr>
            <b/>
            <sz val="9"/>
            <rFont val="ＭＳ Ｐゴシック"/>
            <family val="3"/>
          </rPr>
          <t xml:space="preserve">
　手動入力の場合は
　チェックを外し、右側
　のセルに記入</t>
        </r>
      </text>
    </comment>
    <comment ref="B1" authorId="0">
      <text>
        <r>
          <rPr>
            <b/>
            <sz val="9"/>
            <rFont val="ＭＳ Ｐゴシック"/>
            <family val="3"/>
          </rPr>
          <t xml:space="preserve">
　自動計算のため、
　以下は変更しないこと。</t>
        </r>
      </text>
    </comment>
    <comment ref="E1" authorId="0">
      <text>
        <r>
          <rPr>
            <b/>
            <sz val="9"/>
            <rFont val="ＭＳ Ｐゴシック"/>
            <family val="3"/>
          </rPr>
          <t xml:space="preserve">
　手動で入力する場合は
　こちらに記入</t>
        </r>
      </text>
    </comment>
  </commentList>
</comments>
</file>

<file path=xl/sharedStrings.xml><?xml version="1.0" encoding="utf-8"?>
<sst xmlns="http://schemas.openxmlformats.org/spreadsheetml/2006/main" count="1584" uniqueCount="942">
  <si>
    <t>Type</t>
  </si>
  <si>
    <t>Escape Artist</t>
  </si>
  <si>
    <t>Disarm</t>
  </si>
  <si>
    <t>Spell Level</t>
  </si>
  <si>
    <t>Common</t>
  </si>
  <si>
    <t>Protective Device</t>
  </si>
  <si>
    <t>暗視（フィート）</t>
  </si>
  <si>
    <t>エネルギー抵抗(Resistance)</t>
  </si>
  <si>
    <t>音波</t>
  </si>
  <si>
    <t>酸</t>
  </si>
  <si>
    <t>非視覚的感知（フィート）</t>
  </si>
  <si>
    <t>電気</t>
  </si>
  <si>
    <t>火</t>
  </si>
  <si>
    <t>冷気</t>
  </si>
  <si>
    <t>擬似視覚　　　（フィート）</t>
  </si>
  <si>
    <t>呪文抵抗/パワー抵抗</t>
  </si>
  <si>
    <t>振動感知　　（フィート）</t>
  </si>
  <si>
    <t>ダメージ減少</t>
  </si>
  <si>
    <t>攻撃手段</t>
  </si>
  <si>
    <t>武器</t>
  </si>
  <si>
    <t>合計　　　修正値</t>
  </si>
  <si>
    <t>基本攻撃ボーナス</t>
  </si>
  <si>
    <r>
      <t>【筋】</t>
    </r>
    <r>
      <rPr>
        <sz val="8"/>
        <rFont val="ＭＳ Ｐゴシック"/>
        <family val="3"/>
      </rPr>
      <t>修正</t>
    </r>
  </si>
  <si>
    <r>
      <t>【敏】</t>
    </r>
    <r>
      <rPr>
        <sz val="8"/>
        <rFont val="ＭＳ Ｐゴシック"/>
        <family val="3"/>
      </rPr>
      <t>修正</t>
    </r>
  </si>
  <si>
    <t>特技　　　</t>
  </si>
  <si>
    <r>
      <t>強化</t>
    </r>
    <r>
      <rPr>
        <sz val="6"/>
        <rFont val="ＭＳ Ｐゴシック"/>
        <family val="3"/>
      </rPr>
      <t>ボーナス</t>
    </r>
  </si>
  <si>
    <r>
      <t>サイズ</t>
    </r>
    <r>
      <rPr>
        <sz val="7"/>
        <rFont val="ＭＳ Ｐゴシック"/>
        <family val="3"/>
      </rPr>
      <t>修正</t>
    </r>
  </si>
  <si>
    <r>
      <t>士気</t>
    </r>
    <r>
      <rPr>
        <sz val="6"/>
        <rFont val="ＭＳ Ｐゴシック"/>
        <family val="3"/>
      </rPr>
      <t>ボーナス</t>
    </r>
  </si>
  <si>
    <t>J-staff・さぼりっこ・ｋ３・DM-SKM・</t>
  </si>
  <si>
    <t>いしかわ・えでぃ・hal・うっかり交渉人・</t>
  </si>
  <si>
    <r>
      <t>洞察</t>
    </r>
    <r>
      <rPr>
        <sz val="6"/>
        <rFont val="ＭＳ Ｐゴシック"/>
        <family val="3"/>
      </rPr>
      <t>ボーナス</t>
    </r>
  </si>
  <si>
    <t>その他の修正</t>
  </si>
  <si>
    <t>射程距離</t>
  </si>
  <si>
    <t>ダメージ</t>
  </si>
  <si>
    <t>ダメージ修正</t>
  </si>
  <si>
    <t>対ダメージ　　　減少　　　　　　　　　　　　（属性・材質）</t>
  </si>
  <si>
    <t>武器のサイズ</t>
  </si>
  <si>
    <t>消費p</t>
  </si>
  <si>
    <t>［対応］</t>
  </si>
  <si>
    <t>種別</t>
  </si>
  <si>
    <t>種別</t>
  </si>
  <si>
    <t>分類</t>
  </si>
  <si>
    <t>分類</t>
  </si>
  <si>
    <t>出展</t>
  </si>
  <si>
    <t>ERUDITE</t>
  </si>
  <si>
    <t>ARDENT</t>
  </si>
  <si>
    <t>DIVINE MIND</t>
  </si>
  <si>
    <t>LURK</t>
  </si>
  <si>
    <t>ZERTH CENOBITE</t>
  </si>
  <si>
    <t>ウォー・マインド</t>
  </si>
  <si>
    <t>ワイルダー</t>
  </si>
  <si>
    <t>フィスト・オヴ・ズオケン</t>
  </si>
  <si>
    <t>クリティカル　　　　倍率</t>
  </si>
  <si>
    <t>クリティカル　　　　可能域</t>
  </si>
  <si>
    <t>重量</t>
  </si>
  <si>
    <t>効果、術者ｌｖ、　　その他の能力など</t>
  </si>
  <si>
    <t>武器の妙技</t>
  </si>
  <si>
    <t>参照項</t>
  </si>
  <si>
    <t>遠隔武器１</t>
  </si>
  <si>
    <t>遠隔武器２</t>
  </si>
  <si>
    <t>種族ボーナス特技</t>
  </si>
  <si>
    <t>:</t>
  </si>
  <si>
    <t>クラス名⇒</t>
  </si>
  <si>
    <t>キャラクター・レベル＝</t>
  </si>
  <si>
    <t>技能ポイント総計＝</t>
  </si>
  <si>
    <r>
      <t>ｌv/　　</t>
    </r>
    <r>
      <rPr>
        <sz val="8"/>
        <rFont val="ＭＳ Ｐゴシック"/>
        <family val="3"/>
      </rPr>
      <t>修正値</t>
    </r>
  </si>
  <si>
    <t>1-3</t>
  </si>
  <si>
    <t>4-7</t>
  </si>
  <si>
    <t>8-11</t>
  </si>
  <si>
    <t>12-15</t>
  </si>
  <si>
    <t>16-19</t>
  </si>
  <si>
    <t>消費技能ポイント⇒</t>
  </si>
  <si>
    <t>消費技能ポイント総計＝</t>
  </si>
  <si>
    <t>クラス技能 ランク最大値＝</t>
  </si>
  <si>
    <t>対応　能力値</t>
  </si>
  <si>
    <t>能力　　修正値</t>
  </si>
  <si>
    <t>幸運</t>
  </si>
  <si>
    <t>技量</t>
  </si>
  <si>
    <t>状況</t>
  </si>
  <si>
    <t>未習得</t>
  </si>
  <si>
    <t>ランク</t>
  </si>
  <si>
    <t>判定ペナルティ</t>
  </si>
  <si>
    <t>カスタマイズ用番号（変更しないこと）</t>
  </si>
  <si>
    <t>技能名</t>
  </si>
  <si>
    <t>-</t>
  </si>
  <si>
    <t>Appraise</t>
  </si>
  <si>
    <t>Diplomacy</t>
  </si>
  <si>
    <t>Sense Motive</t>
  </si>
  <si>
    <t>Spellcraft</t>
  </si>
  <si>
    <t>Swim</t>
  </si>
  <si>
    <t>Disable Device</t>
  </si>
  <si>
    <t>Sleight of Hand</t>
  </si>
  <si>
    <t>Climb</t>
  </si>
  <si>
    <t>Handle Animal</t>
  </si>
  <si>
    <t>Bluff</t>
  </si>
  <si>
    <t>Use Magic Device</t>
  </si>
  <si>
    <t>「'D20 System' and the 'D20 System' logo are Trademarks owned by Wizards of the Coast and are used according to the terms of the D20 System License version 3.0.  A copy of this License can be found at www.wizards.com/d20.」</t>
  </si>
  <si>
    <t>OPEN GAME LICENSE Version 1.0a</t>
  </si>
  <si>
    <r>
      <t>Dungeons &amp; Dragons</t>
    </r>
    <r>
      <rPr>
        <b/>
        <vertAlign val="superscript"/>
        <sz val="14"/>
        <color indexed="10"/>
        <rFont val="ＭＳ Ｐゴシック"/>
        <family val="3"/>
      </rPr>
      <t>(R)</t>
    </r>
    <r>
      <rPr>
        <b/>
        <sz val="14"/>
        <color indexed="10"/>
        <rFont val="ＭＳ Ｐゴシック"/>
        <family val="3"/>
      </rPr>
      <t>用　スペシャル・キャラクター・シート＆トラッキング・シート</t>
    </r>
  </si>
  <si>
    <t>"Requires the use of the Dungeons &amp; Dragons(R) Player's Handbook, 3.5 Edition, published by Wizards of the Coast(R)”</t>
  </si>
  <si>
    <t>DM連絡会（仮）</t>
  </si>
  <si>
    <t>作者（敬称略）</t>
  </si>
  <si>
    <t>提供サイト</t>
  </si>
  <si>
    <t>CDS:PE</t>
  </si>
  <si>
    <t>Dungeon's Gate</t>
  </si>
  <si>
    <t>作成時予算↓</t>
  </si>
  <si>
    <t>サイズ</t>
  </si>
  <si>
    <t>サイズ</t>
  </si>
  <si>
    <t>軽荷重</t>
  </si>
  <si>
    <t>体重</t>
  </si>
  <si>
    <t>キャラクターの　　総財産（ｇｐ）</t>
  </si>
  <si>
    <t>硬貨の枚数</t>
  </si>
  <si>
    <t>中荷重</t>
  </si>
  <si>
    <t>ｐｐ</t>
  </si>
  <si>
    <t>重荷重</t>
  </si>
  <si>
    <t>購入/入手したアイテムの総計（ｇｐ）</t>
  </si>
  <si>
    <t>ｇｐ</t>
  </si>
  <si>
    <t>ｓｐ</t>
  </si>
  <si>
    <t>荷物の重量（ポンド）</t>
  </si>
  <si>
    <t>硬貨の所持金額（ｇｐ）</t>
  </si>
  <si>
    <t>ｃｐ</t>
  </si>
  <si>
    <t>今の荷重の限界まで（ポンド）</t>
  </si>
  <si>
    <t>運搬能力　　 限界　　　（ポンド）</t>
  </si>
  <si>
    <t>【筋】、【敏】、【耐】、【知】、【判】、【魅】</t>
  </si>
  <si>
    <t>ヒット・ダイス：</t>
  </si>
  <si>
    <t>(hp)</t>
  </si>
  <si>
    <t>イニシアチブ：</t>
  </si>
  <si>
    <t>移動速度：</t>
  </si>
  <si>
    <t>基本攻撃/組み付き：</t>
  </si>
  <si>
    <t>攻撃：</t>
  </si>
  <si>
    <t>全力攻撃：</t>
  </si>
  <si>
    <t>接敵面/間合い：</t>
  </si>
  <si>
    <t>フィート/フィート</t>
  </si>
  <si>
    <t>特殊攻撃：</t>
  </si>
  <si>
    <t>能力値：</t>
  </si>
  <si>
    <t>技能：</t>
  </si>
  <si>
    <t>特技：</t>
  </si>
  <si>
    <t>ＡＣ：</t>
  </si>
  <si>
    <t>種族：</t>
  </si>
  <si>
    <t>名前：</t>
  </si>
  <si>
    <t>セーヴ：</t>
  </si>
  <si>
    <t>0.5フィート</t>
  </si>
  <si>
    <t>1フィート</t>
  </si>
  <si>
    <t>2.5フィート</t>
  </si>
  <si>
    <t>5フィート</t>
  </si>
  <si>
    <t>10フィート</t>
  </si>
  <si>
    <t>15フィート</t>
  </si>
  <si>
    <t>20フィート</t>
  </si>
  <si>
    <t>30フィート</t>
  </si>
  <si>
    <t>セーヴ</t>
  </si>
  <si>
    <t>種別</t>
  </si>
  <si>
    <t>プレイヤー名</t>
  </si>
  <si>
    <t>種族名</t>
  </si>
  <si>
    <t>キャラクター名</t>
  </si>
  <si>
    <t>踏ん張り</t>
  </si>
  <si>
    <t>【筋力】値</t>
  </si>
  <si>
    <t>消費した技能ポイント/そのレベルでの技能ポイント⇒</t>
  </si>
  <si>
    <t>ACP</t>
  </si>
  <si>
    <t>一般的な運搬道具（背負い袋など）は、最下欄にまとめてある。運搬用具の積載重量を使用しない場合、アイテム名の数式を削除する。</t>
  </si>
  <si>
    <t>参照項(英語)</t>
  </si>
  <si>
    <t>参照項(日本語)</t>
  </si>
  <si>
    <t>No</t>
  </si>
  <si>
    <t>Yes</t>
  </si>
  <si>
    <t>硬貨の重量</t>
  </si>
  <si>
    <t>Ｎｏ.</t>
  </si>
  <si>
    <t>装備する箇所</t>
  </si>
  <si>
    <t>アイテム名</t>
  </si>
  <si>
    <t>個数</t>
  </si>
  <si>
    <t>重量（ポンド）</t>
  </si>
  <si>
    <t>個数×重量</t>
  </si>
  <si>
    <t>価格（ｇｐ）</t>
  </si>
  <si>
    <t>合計価格</t>
  </si>
  <si>
    <t>呪文Lｖ</t>
  </si>
  <si>
    <t>術者Lｖ</t>
  </si>
  <si>
    <t>チャージ数</t>
  </si>
  <si>
    <t>出典</t>
  </si>
  <si>
    <t>ボーナスの種類</t>
  </si>
  <si>
    <t>ACボーナス</t>
  </si>
  <si>
    <t>【敏】 ボーナス上限</t>
  </si>
  <si>
    <t>判定ペナルティ</t>
  </si>
  <si>
    <t>秘術呪文失敗率</t>
  </si>
  <si>
    <t>能力（防具の能力、チャージ数、術者レベルなど）</t>
  </si>
  <si>
    <t>全身（鎧またはローブ）</t>
  </si>
  <si>
    <t>（盾ボーナス）</t>
  </si>
  <si>
    <t>キャラクターの外皮</t>
  </si>
  <si>
    <t>（外皮ボーナス）</t>
  </si>
  <si>
    <t>その他の防御アイテム</t>
  </si>
  <si>
    <t>その他の防御アイテム</t>
  </si>
  <si>
    <t>ダメージ</t>
  </si>
  <si>
    <t>クリティカル倍率</t>
  </si>
  <si>
    <t>クリティカル可能域</t>
  </si>
  <si>
    <t>間合い/射程</t>
  </si>
  <si>
    <t>能力欄1（武器の能力など）</t>
  </si>
  <si>
    <t>能力2（チャージ数、術者レベルなど）</t>
  </si>
  <si>
    <t>近接武器１</t>
  </si>
  <si>
    <t>x2</t>
  </si>
  <si>
    <t>近接武器２</t>
  </si>
  <si>
    <t>近接武器３</t>
  </si>
  <si>
    <t>近接武器４</t>
  </si>
  <si>
    <t>矢弾</t>
  </si>
  <si>
    <t>頭部（ハット、ヘルム）</t>
  </si>
  <si>
    <t>両目（ゴーグル、レンズ）</t>
  </si>
  <si>
    <t>首（アミュレット）</t>
  </si>
  <si>
    <t>肩（クローク）</t>
  </si>
  <si>
    <t>胴（ヴェスト、シャツ）</t>
  </si>
  <si>
    <t>腰（ベルト）</t>
  </si>
  <si>
    <t>腕（ブレイサー、ブレスレット）</t>
  </si>
  <si>
    <t>手（ガントレット、グラヴ）</t>
  </si>
  <si>
    <t>指輪（左手）</t>
  </si>
  <si>
    <t>指輪（右手）</t>
  </si>
  <si>
    <t>足（ブーツ）</t>
  </si>
  <si>
    <t>所持している物品</t>
  </si>
  <si>
    <t>所持している物品</t>
  </si>
  <si>
    <t>=</t>
  </si>
  <si>
    <t>+</t>
  </si>
  <si>
    <t>AC</t>
  </si>
  <si>
    <t>呪文抵抗</t>
  </si>
  <si>
    <t>パワー抵抗</t>
  </si>
  <si>
    <t>+</t>
  </si>
  <si>
    <t>下の数字はアイテム番号</t>
  </si>
  <si>
    <t>↓左の所持品欄用</t>
  </si>
  <si>
    <t>呪文ｌｖ</t>
  </si>
  <si>
    <t>0/ 1/ 2/ 3/ 4/ 5/ 6/ 7/ 8/ 9</t>
  </si>
  <si>
    <t>専門系統/領域</t>
  </si>
  <si>
    <t>近距離</t>
  </si>
  <si>
    <t>禁止系統</t>
  </si>
  <si>
    <t>中距離</t>
  </si>
  <si>
    <t>任意発動、その他の能力など</t>
  </si>
  <si>
    <t>遠距離</t>
  </si>
  <si>
    <t>（修正値）</t>
  </si>
  <si>
    <t>準備</t>
  </si>
  <si>
    <t>呪文名</t>
  </si>
  <si>
    <t>クラス</t>
  </si>
  <si>
    <t>系統</t>
  </si>
  <si>
    <t>呪文ｌｖ</t>
  </si>
  <si>
    <t>構成要素</t>
  </si>
  <si>
    <t>発動時間</t>
  </si>
  <si>
    <t>距離</t>
  </si>
  <si>
    <t>持続時間</t>
  </si>
  <si>
    <t>セーヴ</t>
  </si>
  <si>
    <t>呪文抵抗</t>
  </si>
  <si>
    <t>［目標/効果/効果範囲］</t>
  </si>
  <si>
    <t>（副系統）</t>
  </si>
  <si>
    <t>［補足説明］</t>
  </si>
  <si>
    <t>効果概略</t>
  </si>
  <si>
    <t>Egoist (Psychometabolism)</t>
  </si>
  <si>
    <t>パワーｌｖ</t>
  </si>
  <si>
    <t>0/ 1/ 2/ 3/ 4/ 5/ 6/ 7/ 8/ 9</t>
  </si>
  <si>
    <t>パワー・ポイント・リザーヴ</t>
  </si>
  <si>
    <t>1日のパワー・ポイント</t>
  </si>
  <si>
    <t>その他の能力など</t>
  </si>
  <si>
    <t>ボーナス・パワー・ポイント</t>
  </si>
  <si>
    <t>選択分野</t>
  </si>
  <si>
    <t>特技によるボーナス</t>
  </si>
  <si>
    <t>パワー名</t>
  </si>
  <si>
    <t>分野</t>
  </si>
  <si>
    <t>パワーｌｖ</t>
  </si>
  <si>
    <t>付随現象</t>
  </si>
  <si>
    <t>発現時間</t>
  </si>
  <si>
    <t>［目標/効果/効果範囲］</t>
  </si>
  <si>
    <t>（副系統）</t>
  </si>
  <si>
    <t>1日のパワー・ポイント 計算用</t>
  </si>
  <si>
    <t>レベル</t>
  </si>
  <si>
    <t>サイオン</t>
  </si>
  <si>
    <t>サイキック・ウォリアー</t>
  </si>
  <si>
    <t>エゴイスト（変容）</t>
  </si>
  <si>
    <t>キネティシスト（念動）</t>
  </si>
  <si>
    <t>Kineticist (Psychokinesis)</t>
  </si>
  <si>
    <t>シーア（超知覚）</t>
  </si>
  <si>
    <t>Nomad (Psychoportation)</t>
  </si>
  <si>
    <t>シェイパー（具象化）</t>
  </si>
  <si>
    <t>Seer (Clairsentience)</t>
  </si>
  <si>
    <t>テレパス（精神感応）</t>
  </si>
  <si>
    <t>Shaper (Metacreativity)</t>
  </si>
  <si>
    <t>ノーマッド（観念移動）</t>
  </si>
  <si>
    <t>Telepath (Telepathy)</t>
  </si>
  <si>
    <t>HD</t>
  </si>
  <si>
    <t>速度</t>
  </si>
  <si>
    <t>L</t>
  </si>
  <si>
    <t>F</t>
  </si>
  <si>
    <t>S</t>
  </si>
  <si>
    <t>C</t>
  </si>
  <si>
    <t>B</t>
  </si>
  <si>
    <t>CON</t>
  </si>
  <si>
    <t>【敏】</t>
  </si>
  <si>
    <t>鎧</t>
  </si>
  <si>
    <t>盾</t>
  </si>
  <si>
    <t>外皮</t>
  </si>
  <si>
    <t>技能</t>
  </si>
  <si>
    <t>印刷用セル（編集しないこと）</t>
  </si>
  <si>
    <t>自動</t>
  </si>
  <si>
    <t>手入力用セル</t>
  </si>
  <si>
    <t>その他の特殊能力：</t>
  </si>
  <si>
    <t>頑健+, 反応+, 意志+</t>
  </si>
  <si>
    <t>脅威度：</t>
  </si>
  <si>
    <t>計算用（編集しないこと）</t>
  </si>
  <si>
    <t>接敵面</t>
  </si>
  <si>
    <t>外皮への強化</t>
  </si>
  <si>
    <t>反発</t>
  </si>
  <si>
    <t>特殊能力</t>
  </si>
  <si>
    <t>特殊攻撃</t>
  </si>
  <si>
    <t>耐性</t>
  </si>
  <si>
    <t>電気</t>
  </si>
  <si>
    <t>音波</t>
  </si>
  <si>
    <t>冷気</t>
  </si>
  <si>
    <t>酸</t>
  </si>
  <si>
    <t>火</t>
  </si>
  <si>
    <t>ダメージ減少</t>
  </si>
  <si>
    <t>小計</t>
  </si>
  <si>
    <t>✔</t>
  </si>
  <si>
    <t/>
  </si>
  <si>
    <t>x2</t>
  </si>
  <si>
    <t>身長（フィート）</t>
  </si>
  <si>
    <t>種族</t>
  </si>
  <si>
    <t>体重（ポンド）</t>
  </si>
  <si>
    <t>言語</t>
  </si>
  <si>
    <t>右は編集せぬこと</t>
  </si>
  <si>
    <t>サイズ</t>
  </si>
  <si>
    <t>サイズ修正</t>
  </si>
  <si>
    <t>属性</t>
  </si>
  <si>
    <t>飛行機動性</t>
  </si>
  <si>
    <t>ダメージの種類</t>
  </si>
  <si>
    <t>クラスの技能ポイント＋種族ボーナス</t>
  </si>
  <si>
    <t>重荷重上限</t>
  </si>
  <si>
    <t>副種別</t>
  </si>
  <si>
    <t>(劣悪)</t>
  </si>
  <si>
    <t>性別</t>
  </si>
  <si>
    <t>年齢</t>
  </si>
  <si>
    <t>攻撃、ＡＣ修正</t>
  </si>
  <si>
    <t>(貧弱)</t>
  </si>
  <si>
    <t>出身次元界</t>
  </si>
  <si>
    <t>肌の色</t>
  </si>
  <si>
    <t>(標準)</t>
  </si>
  <si>
    <t>出身地</t>
  </si>
  <si>
    <t>目の色</t>
  </si>
  <si>
    <t>組みつきなど</t>
  </si>
  <si>
    <t>(良好)</t>
  </si>
  <si>
    <t>信仰する神格</t>
  </si>
  <si>
    <t>髪の色</t>
  </si>
  <si>
    <t>(完璧)</t>
  </si>
  <si>
    <t>優れた体格</t>
  </si>
  <si>
    <t>経歴・所属など</t>
  </si>
  <si>
    <t>サイズ分類</t>
  </si>
  <si>
    <t>基本移動速度</t>
  </si>
  <si>
    <t>（運搬能力）</t>
  </si>
  <si>
    <t>鎧など</t>
  </si>
  <si>
    <t>低下しない</t>
  </si>
  <si>
    <t>飛行</t>
  </si>
  <si>
    <t>購入ポイント</t>
  </si>
  <si>
    <t>生来の間合い</t>
  </si>
  <si>
    <t>水泳</t>
  </si>
  <si>
    <t>―</t>
  </si>
  <si>
    <t>イニシアチブ</t>
  </si>
  <si>
    <t>登攀</t>
  </si>
  <si>
    <t>合計　　　　　　能力値</t>
  </si>
  <si>
    <t>能力　　　　修正値</t>
  </si>
  <si>
    <t>強化</t>
  </si>
  <si>
    <t>その他</t>
  </si>
  <si>
    <t>獲得</t>
  </si>
  <si>
    <t>体得</t>
  </si>
  <si>
    <t>加齢</t>
  </si>
  <si>
    <t>基本　　　　能力値</t>
  </si>
  <si>
    <t>消費　　　ﾎﾟｲﾝﾄ</t>
  </si>
  <si>
    <t>穴掘り</t>
  </si>
  <si>
    <t>視覚</t>
  </si>
  <si>
    <t>―</t>
  </si>
  <si>
    <t>【筋】(STR)</t>
  </si>
  <si>
    <t>残り</t>
  </si>
  <si>
    <t>クラス名</t>
  </si>
  <si>
    <t>レベル</t>
  </si>
  <si>
    <t>【敏】(DEX)</t>
  </si>
  <si>
    <t>種族HD</t>
  </si>
  <si>
    <t>通常</t>
  </si>
  <si>
    <t>【耐】(CON)</t>
  </si>
  <si>
    <t>レベル調整</t>
  </si>
  <si>
    <t>能力値</t>
  </si>
  <si>
    <t>【知】(INT)</t>
  </si>
  <si>
    <t>クラス名</t>
  </si>
  <si>
    <t>夜目</t>
  </si>
  <si>
    <t>【筋】</t>
  </si>
  <si>
    <t>【判】(WIS)</t>
  </si>
  <si>
    <t>【敏】</t>
  </si>
  <si>
    <t>【魅】(CHA)</t>
  </si>
  <si>
    <t>鋭敏嗅覚</t>
  </si>
  <si>
    <t>特殊攻撃</t>
  </si>
  <si>
    <t>能力値獲得</t>
  </si>
  <si>
    <t>4th</t>
  </si>
  <si>
    <t>8th</t>
  </si>
  <si>
    <t>12th</t>
  </si>
  <si>
    <t>16th</t>
  </si>
  <si>
    <t>20th</t>
  </si>
  <si>
    <t xml:space="preserve">《武器習熟》 </t>
  </si>
  <si>
    <t xml:space="preserve">《盾習熟》 </t>
  </si>
  <si>
    <t xml:space="preserve">《鎧習熟》 </t>
  </si>
  <si>
    <t>✔</t>
  </si>
  <si>
    <t>総重量</t>
  </si>
  <si>
    <t>―</t>
  </si>
  <si>
    <t>適性クラス</t>
  </si>
  <si>
    <t>合計</t>
  </si>
  <si>
    <t>その他(特技欄に記入)</t>
  </si>
  <si>
    <t>クラス</t>
  </si>
  <si>
    <t>Lv</t>
  </si>
  <si>
    <t>HD</t>
  </si>
  <si>
    <t>現在の値</t>
  </si>
  <si>
    <t>基本セーヴ上昇</t>
  </si>
  <si>
    <t>武器習熟</t>
  </si>
  <si>
    <t>ならない</t>
  </si>
  <si>
    <t>ｈｐ増加</t>
  </si>
  <si>
    <t>基本攻撃</t>
  </si>
  <si>
    <t>頑健</t>
  </si>
  <si>
    <t>反応</t>
  </si>
  <si>
    <t>意志</t>
  </si>
  <si>
    <t>合計値</t>
  </si>
  <si>
    <t>鎧のタイプ</t>
  </si>
  <si>
    <t>サイオン</t>
  </si>
  <si>
    <t>鎧</t>
  </si>
  <si>
    <t>能力修正値</t>
  </si>
  <si>
    <t>鎧・盾習熟</t>
  </si>
  <si>
    <t>サイキック・ウォリア-</t>
  </si>
  <si>
    <t>特技など</t>
  </si>
  <si>
    <t>ワイルダー</t>
  </si>
  <si>
    <t>盾</t>
  </si>
  <si>
    <t>幸運ボーナス</t>
  </si>
  <si>
    <t>種族ボーナス</t>
  </si>
  <si>
    <t>抵抗ボーナス</t>
  </si>
  <si>
    <t>レベルによる《特技》</t>
  </si>
  <si>
    <t>クラス、レベル</t>
  </si>
  <si>
    <t>ボーナス特技</t>
  </si>
  <si>
    <t>その他</t>
  </si>
  <si>
    <t>士気ボーナス</t>
  </si>
  <si>
    <t>HD</t>
  </si>
  <si>
    <t>出目</t>
  </si>
  <si>
    <t>1st</t>
  </si>
  <si>
    <t>2nd</t>
  </si>
  <si>
    <t>3rd</t>
  </si>
  <si>
    <t>4th</t>
  </si>
  <si>
    <t>5th</t>
  </si>
  <si>
    <t>6th</t>
  </si>
  <si>
    <t>7th</t>
  </si>
  <si>
    <t>8th</t>
  </si>
  <si>
    <t>9th</t>
  </si>
  <si>
    <t>10th</t>
  </si>
  <si>
    <t>11th</t>
  </si>
  <si>
    <t>12th</t>
  </si>
  <si>
    <t>13th</t>
  </si>
  <si>
    <t>14th</t>
  </si>
  <si>
    <t>15th</t>
  </si>
  <si>
    <t>16th</t>
  </si>
  <si>
    <t>17th</t>
  </si>
  <si>
    <t>18th</t>
  </si>
  <si>
    <t>19th</t>
  </si>
  <si>
    <t>20th</t>
  </si>
  <si>
    <t>現在の経験点</t>
  </si>
  <si>
    <t>次のレベルまで</t>
  </si>
  <si>
    <t>経験点ペナルティ</t>
  </si>
  <si>
    <t>Armor Class</t>
  </si>
  <si>
    <t>Total</t>
  </si>
  <si>
    <t>基本</t>
  </si>
  <si>
    <t>外皮</t>
  </si>
  <si>
    <t>その他の防具</t>
  </si>
  <si>
    <t>サイズ</t>
  </si>
  <si>
    <t>外皮への強化</t>
  </si>
  <si>
    <t>反発</t>
  </si>
  <si>
    <t>今のレベルの最低経験点</t>
  </si>
  <si>
    <t>（次のレベル）</t>
  </si>
  <si>
    <t>能力の由来</t>
  </si>
  <si>
    <t>クラスなどの特殊能力</t>
  </si>
  <si>
    <t>0th</t>
  </si>
  <si>
    <t>1st</t>
  </si>
  <si>
    <t>2nd</t>
  </si>
  <si>
    <t>3rd</t>
  </si>
  <si>
    <t>4th</t>
  </si>
  <si>
    <t>5th</t>
  </si>
  <si>
    <t>6th</t>
  </si>
  <si>
    <t>7th</t>
  </si>
  <si>
    <t>8th</t>
  </si>
  <si>
    <t>9th</t>
  </si>
  <si>
    <t>術者レベル</t>
  </si>
  <si>
    <t>セーヴ難易度</t>
  </si>
  <si>
    <t>対応能力値</t>
  </si>
  <si>
    <t>1日の呪文数</t>
  </si>
  <si>
    <t>能力値修正</t>
  </si>
  <si>
    <t>習得呪文数</t>
  </si>
  <si>
    <t>0th</t>
  </si>
  <si>
    <t>1st</t>
  </si>
  <si>
    <t>2nd</t>
  </si>
  <si>
    <t>3rd</t>
  </si>
  <si>
    <t>4th</t>
  </si>
  <si>
    <t>5th</t>
  </si>
  <si>
    <t>6th</t>
  </si>
  <si>
    <t>7th</t>
  </si>
  <si>
    <t>8th</t>
  </si>
  <si>
    <t>9th</t>
  </si>
  <si>
    <t>発現者レベル</t>
  </si>
  <si>
    <t>-</t>
  </si>
  <si>
    <t>習得パワー数</t>
  </si>
  <si>
    <t>-</t>
  </si>
  <si>
    <t>現在の荷重</t>
  </si>
  <si>
    <t>技能</t>
  </si>
  <si>
    <t>戦闘オプション</t>
  </si>
  <si>
    <t>基本攻撃</t>
  </si>
  <si>
    <t>特技</t>
  </si>
  <si>
    <t>サイズ</t>
  </si>
  <si>
    <t>AoO</t>
  </si>
  <si>
    <t>間合い</t>
  </si>
  <si>
    <t>荷重</t>
  </si>
  <si>
    <t>軽</t>
  </si>
  <si>
    <t>中</t>
  </si>
  <si>
    <t>重</t>
  </si>
  <si>
    <t>防具/荷重による判定ペナルティ</t>
  </si>
  <si>
    <t>秘術呪文　　　　失敗率</t>
  </si>
  <si>
    <t>判定</t>
  </si>
  <si>
    <t>限界重量</t>
  </si>
  <si>
    <t>完全耐性(Immunity)</t>
  </si>
  <si>
    <t>バーバリアン：　　　　　高速移動</t>
  </si>
  <si>
    <t>その他の追加速度</t>
  </si>
  <si>
    <t>Latest Update:Ver3.04 (2008.4.21/梅酒)</t>
  </si>
  <si>
    <t>唯野鴎・スリースリー・梅酒</t>
  </si>
  <si>
    <t>Appraise</t>
  </si>
  <si>
    <t xml:space="preserve">Perform: </t>
  </si>
  <si>
    <t xml:space="preserve">Profession: </t>
  </si>
  <si>
    <t xml:space="preserve">Craft: </t>
  </si>
  <si>
    <t>Knowledge: Nature</t>
  </si>
  <si>
    <t>Knowledge: Dungeoneering</t>
  </si>
  <si>
    <t>Knowledge: Local</t>
  </si>
  <si>
    <t>Knowledge: Local ()</t>
  </si>
  <si>
    <t>Knowledge: History</t>
  </si>
  <si>
    <t>1st</t>
  </si>
  <si>
    <t>2nd</t>
  </si>
  <si>
    <t>3rd</t>
  </si>
  <si>
    <t>4th</t>
  </si>
  <si>
    <t>5th</t>
  </si>
  <si>
    <t>6th</t>
  </si>
  <si>
    <t>7th</t>
  </si>
  <si>
    <t>8th</t>
  </si>
  <si>
    <t>9th</t>
  </si>
  <si>
    <t>10th</t>
  </si>
  <si>
    <t>11th</t>
  </si>
  <si>
    <t>12th</t>
  </si>
  <si>
    <t>13th</t>
  </si>
  <si>
    <t>14th</t>
  </si>
  <si>
    <t>15th</t>
  </si>
  <si>
    <t>16th</t>
  </si>
  <si>
    <t>17th</t>
  </si>
  <si>
    <t>18th</t>
  </si>
  <si>
    <t>19th</t>
  </si>
  <si>
    <t>20th</t>
  </si>
  <si>
    <t>-</t>
  </si>
  <si>
    <t>STR</t>
  </si>
  <si>
    <t>STR</t>
  </si>
  <si>
    <t>DEX</t>
  </si>
  <si>
    <t>DEX</t>
  </si>
  <si>
    <t>CON</t>
  </si>
  <si>
    <t>CON</t>
  </si>
  <si>
    <t>INT</t>
  </si>
  <si>
    <t>INT＋レベル毎の技能ポイント⇒</t>
  </si>
  <si>
    <t>INT</t>
  </si>
  <si>
    <t>CHA</t>
  </si>
  <si>
    <t>CHA</t>
  </si>
  <si>
    <t>WIS</t>
  </si>
  <si>
    <t>Lawful Good</t>
  </si>
  <si>
    <t>Neutral Good</t>
  </si>
  <si>
    <t>Chaotic Good</t>
  </si>
  <si>
    <t>Lawful Neutral</t>
  </si>
  <si>
    <t>True Neutral</t>
  </si>
  <si>
    <t>Chaotic Neutral</t>
  </si>
  <si>
    <t>Neutral Evil</t>
  </si>
  <si>
    <t>Lawful Evil</t>
  </si>
  <si>
    <t>Chaotic Evil</t>
  </si>
  <si>
    <t>Fine</t>
  </si>
  <si>
    <t>Diminutive</t>
  </si>
  <si>
    <t>Tiny</t>
  </si>
  <si>
    <t>Small</t>
  </si>
  <si>
    <t>Medium</t>
  </si>
  <si>
    <t>Large</t>
  </si>
  <si>
    <t>Huge</t>
  </si>
  <si>
    <t>Gargantuan</t>
  </si>
  <si>
    <t>Colossal</t>
  </si>
  <si>
    <t>WIS</t>
  </si>
  <si>
    <t>S + P</t>
  </si>
  <si>
    <t>S + B</t>
  </si>
  <si>
    <t>P + B</t>
  </si>
  <si>
    <t>S or P</t>
  </si>
  <si>
    <t>S or B</t>
  </si>
  <si>
    <t>P or B</t>
  </si>
  <si>
    <t>Slashing</t>
  </si>
  <si>
    <t>Piercing</t>
  </si>
  <si>
    <t>Bludgeoning</t>
  </si>
  <si>
    <t>S or P + B</t>
  </si>
  <si>
    <t>P or S + B</t>
  </si>
  <si>
    <t>B or S + P</t>
  </si>
  <si>
    <t>Fine (4 legs)</t>
  </si>
  <si>
    <t>Diminutive (4 legs)</t>
  </si>
  <si>
    <t>Tiny (4 legs)</t>
  </si>
  <si>
    <t>Small (4 legs)</t>
  </si>
  <si>
    <t>Medium (4 legs)</t>
  </si>
  <si>
    <t>Large (4 legs)</t>
  </si>
  <si>
    <t>Huge (4 legs)</t>
  </si>
  <si>
    <t>Gargantuan (4 legs)</t>
  </si>
  <si>
    <t>Colossal (4 legs)</t>
  </si>
  <si>
    <t>Armor AC</t>
  </si>
  <si>
    <t>Shield AC</t>
  </si>
  <si>
    <t>Armor</t>
  </si>
  <si>
    <t>Armor (Stack)</t>
  </si>
  <si>
    <t>Shield</t>
  </si>
  <si>
    <t>Shield (Stack)</t>
  </si>
  <si>
    <t>Other</t>
  </si>
  <si>
    <t>Other (Stack)</t>
  </si>
  <si>
    <t>Light</t>
  </si>
  <si>
    <t>Heavy</t>
  </si>
  <si>
    <t>Simple Weapon</t>
  </si>
  <si>
    <t>Martial Weapon</t>
  </si>
  <si>
    <t>not proficient</t>
  </si>
  <si>
    <t>Light Armor</t>
  </si>
  <si>
    <t>Medium Armor</t>
  </si>
  <si>
    <t>Heavy Armor</t>
  </si>
  <si>
    <t>Shield (include Tower Shield)</t>
  </si>
  <si>
    <t>Energy Resistance</t>
  </si>
  <si>
    <t>Normal</t>
  </si>
  <si>
    <t>Touch</t>
  </si>
  <si>
    <t>Flat-footed</t>
  </si>
  <si>
    <t>Incorporeal Touch</t>
  </si>
  <si>
    <t>Base Attack Bonus</t>
  </si>
  <si>
    <t>Ability Modifier</t>
  </si>
  <si>
    <t>Ability</t>
  </si>
  <si>
    <t>Hit Point</t>
  </si>
  <si>
    <t>Energy Resistance</t>
  </si>
  <si>
    <t>SR</t>
  </si>
  <si>
    <t>PR</t>
  </si>
  <si>
    <t>Damage Reduction</t>
  </si>
  <si>
    <t>Armor Bonus</t>
  </si>
  <si>
    <t>Shield Bonus</t>
  </si>
  <si>
    <t>Size Modifier</t>
  </si>
  <si>
    <t>Natural Armor</t>
  </si>
  <si>
    <t>Natural Armor Enhancement</t>
  </si>
  <si>
    <t>Damage</t>
  </si>
  <si>
    <t>Critical</t>
  </si>
  <si>
    <t>Melee Attack1</t>
  </si>
  <si>
    <t>Melee Attack2</t>
  </si>
  <si>
    <t>Melee Attack3</t>
  </si>
  <si>
    <t>Melee Attack4</t>
  </si>
  <si>
    <t>Unarmed Weapon</t>
  </si>
  <si>
    <t>Melee Touch Attack</t>
  </si>
  <si>
    <t>Ranged Weapon1</t>
  </si>
  <si>
    <t>Ranged Weapon2</t>
  </si>
  <si>
    <t>Ranged Touch Attack</t>
  </si>
  <si>
    <t>Blank</t>
  </si>
  <si>
    <t>None</t>
  </si>
  <si>
    <t>Skill Name</t>
  </si>
  <si>
    <t>Ability</t>
  </si>
  <si>
    <t>Total</t>
  </si>
  <si>
    <t>Rank</t>
  </si>
  <si>
    <t>Misc Modifier</t>
  </si>
  <si>
    <t>Character Name</t>
  </si>
  <si>
    <t>Gender</t>
  </si>
  <si>
    <t>Player Name</t>
  </si>
  <si>
    <t>Class/Level</t>
  </si>
  <si>
    <t>Alignment</t>
  </si>
  <si>
    <t>Deity</t>
  </si>
  <si>
    <t>Race</t>
  </si>
  <si>
    <t>Size</t>
  </si>
  <si>
    <t>Age</t>
  </si>
  <si>
    <t>Height</t>
  </si>
  <si>
    <t>Weight</t>
  </si>
  <si>
    <t>Skin Color</t>
  </si>
  <si>
    <t>Eye Color</t>
  </si>
  <si>
    <t>Hair Color</t>
  </si>
  <si>
    <t>Base</t>
  </si>
  <si>
    <t>Ability Modifier</t>
  </si>
  <si>
    <t>Misc Modifier</t>
  </si>
  <si>
    <t>Temporary Modifier</t>
  </si>
  <si>
    <t>DEX Modifier</t>
  </si>
  <si>
    <t>Feat Modifier</t>
  </si>
  <si>
    <t>Total</t>
  </si>
  <si>
    <t>Base Save Bonus</t>
  </si>
  <si>
    <t>Feat/Class Modifier</t>
  </si>
  <si>
    <t>Modifier from Conditions</t>
  </si>
  <si>
    <t>=</t>
  </si>
  <si>
    <t>+</t>
  </si>
  <si>
    <t>STR Modifier</t>
  </si>
  <si>
    <t>Size Modifier</t>
  </si>
  <si>
    <t>Base Attack Bonus</t>
  </si>
  <si>
    <t>Feat/Skill Modifier</t>
  </si>
  <si>
    <t>Ammunitions</t>
  </si>
  <si>
    <t>Speciality School</t>
  </si>
  <si>
    <t>Prohibit School</t>
  </si>
  <si>
    <t>Save
DC</t>
  </si>
  <si>
    <t>Misc</t>
  </si>
  <si>
    <t>Spell Slots</t>
  </si>
  <si>
    <t>Ability</t>
  </si>
  <si>
    <t>Modifier</t>
  </si>
  <si>
    <t>Spell Known</t>
  </si>
  <si>
    <t>Spell Level</t>
  </si>
  <si>
    <t>Speciality School</t>
  </si>
  <si>
    <t>Prohibit School</t>
  </si>
  <si>
    <t>Save
DC</t>
  </si>
  <si>
    <t>Spel Slots</t>
  </si>
  <si>
    <t>Weapon</t>
  </si>
  <si>
    <t>Base Attack Bonus</t>
  </si>
  <si>
    <t>Reach/Range</t>
  </si>
  <si>
    <t>Weight</t>
  </si>
  <si>
    <t>Type of Damage</t>
  </si>
  <si>
    <t>Size</t>
  </si>
  <si>
    <t>Misc Ability</t>
  </si>
  <si>
    <t>Ammunitnions</t>
  </si>
  <si>
    <r>
      <t>□□□□□</t>
    </r>
    <r>
      <rPr>
        <sz val="8"/>
        <rFont val="Arial"/>
        <family val="2"/>
      </rPr>
      <t xml:space="preserve"> </t>
    </r>
    <r>
      <rPr>
        <sz val="8"/>
        <rFont val="HGｺﾞｼｯｸM"/>
        <family val="3"/>
      </rPr>
      <t>□□□□□</t>
    </r>
    <r>
      <rPr>
        <sz val="8"/>
        <rFont val="Arial"/>
        <family val="2"/>
      </rPr>
      <t xml:space="preserve"> </t>
    </r>
    <r>
      <rPr>
        <sz val="8"/>
        <rFont val="HGｺﾞｼｯｸM"/>
        <family val="3"/>
      </rPr>
      <t>□□□□□</t>
    </r>
    <r>
      <rPr>
        <sz val="8"/>
        <rFont val="Arial"/>
        <family val="2"/>
      </rPr>
      <t xml:space="preserve"> </t>
    </r>
    <r>
      <rPr>
        <sz val="8"/>
        <rFont val="HGｺﾞｼｯｸM"/>
        <family val="3"/>
      </rPr>
      <t>□□□□□</t>
    </r>
    <r>
      <rPr>
        <sz val="8"/>
        <rFont val="Arial"/>
        <family val="2"/>
      </rPr>
      <t xml:space="preserve"> </t>
    </r>
    <r>
      <rPr>
        <sz val="8"/>
        <rFont val="HGｺﾞｼｯｸM"/>
        <family val="3"/>
      </rPr>
      <t>□□□□□</t>
    </r>
    <r>
      <rPr>
        <sz val="8"/>
        <rFont val="Arial"/>
        <family val="2"/>
      </rPr>
      <t xml:space="preserve"> </t>
    </r>
    <r>
      <rPr>
        <sz val="8"/>
        <rFont val="HGｺﾞｼｯｸM"/>
        <family val="3"/>
      </rPr>
      <t>□□□□□</t>
    </r>
    <r>
      <rPr>
        <sz val="8"/>
        <rFont val="Arial"/>
        <family val="2"/>
      </rPr>
      <t xml:space="preserve"> </t>
    </r>
    <r>
      <rPr>
        <sz val="8"/>
        <rFont val="HGｺﾞｼｯｸM"/>
        <family val="3"/>
      </rPr>
      <t>□□□□□</t>
    </r>
    <r>
      <rPr>
        <sz val="8"/>
        <rFont val="Arial"/>
        <family val="2"/>
      </rPr>
      <t xml:space="preserve"> </t>
    </r>
    <r>
      <rPr>
        <sz val="8"/>
        <rFont val="HGｺﾞｼｯｸM"/>
        <family val="3"/>
      </rPr>
      <t>□□□□□</t>
    </r>
  </si>
  <si>
    <t>Ammunitions</t>
  </si>
  <si>
    <t>Armor</t>
  </si>
  <si>
    <t>Armor Bonus</t>
  </si>
  <si>
    <t>Maximum DEX Bonus</t>
  </si>
  <si>
    <t>Armor Check Penalty</t>
  </si>
  <si>
    <t>Arcane Spell Failure</t>
  </si>
  <si>
    <t>Movement</t>
  </si>
  <si>
    <t>Shield</t>
  </si>
  <si>
    <t>Shield Bonus</t>
  </si>
  <si>
    <t>Protective Device</t>
  </si>
  <si>
    <t>Bonus</t>
  </si>
  <si>
    <t>lbs</t>
  </si>
  <si>
    <t>:</t>
  </si>
  <si>
    <t>Racial Bonus Feat</t>
  </si>
  <si>
    <t>lbs</t>
  </si>
  <si>
    <t>SL</t>
  </si>
  <si>
    <t>CL</t>
  </si>
  <si>
    <t>Chg</t>
  </si>
  <si>
    <t>Current Load</t>
  </si>
  <si>
    <t>Lift off ground</t>
  </si>
  <si>
    <t>PP</t>
  </si>
  <si>
    <t>SP</t>
  </si>
  <si>
    <t>Light Load</t>
  </si>
  <si>
    <t>GP</t>
  </si>
  <si>
    <t>CP</t>
  </si>
  <si>
    <t>Lift over head</t>
  </si>
  <si>
    <t>Medium Load</t>
  </si>
  <si>
    <t>Armor Check Penalty</t>
  </si>
  <si>
    <t>Heavy Load</t>
  </si>
  <si>
    <t>Maximum DEX Bonus</t>
  </si>
  <si>
    <t>Push or drag</t>
  </si>
  <si>
    <t>Character Name</t>
  </si>
  <si>
    <t>Hometown</t>
  </si>
  <si>
    <t>Total Weight:</t>
  </si>
  <si>
    <t>Total Equipment Weight(lbs)</t>
  </si>
  <si>
    <t>Next Level:</t>
  </si>
  <si>
    <r>
      <t>Coin Weight</t>
    </r>
    <r>
      <rPr>
        <sz val="10"/>
        <rFont val="HGPｺﾞｼｯｸM"/>
        <family val="3"/>
      </rPr>
      <t>（</t>
    </r>
    <r>
      <rPr>
        <sz val="10"/>
        <rFont val="Arial"/>
        <family val="2"/>
      </rPr>
      <t>1lb/50 pieces</t>
    </r>
    <r>
      <rPr>
        <sz val="10"/>
        <rFont val="HGPｺﾞｼｯｸM"/>
        <family val="3"/>
      </rPr>
      <t>）</t>
    </r>
    <r>
      <rPr>
        <sz val="10"/>
        <rFont val="Arial"/>
        <family val="2"/>
      </rPr>
      <t>:</t>
    </r>
  </si>
  <si>
    <t>Head</t>
  </si>
  <si>
    <t>Face</t>
  </si>
  <si>
    <t>Sholder</t>
  </si>
  <si>
    <t>Torso</t>
  </si>
  <si>
    <t>Waist</t>
  </si>
  <si>
    <t>Arms</t>
  </si>
  <si>
    <t>Hands</t>
  </si>
  <si>
    <t>Ring (Right)</t>
  </si>
  <si>
    <t>Ring (Left)</t>
  </si>
  <si>
    <t>Feet</t>
  </si>
  <si>
    <t>Body</t>
  </si>
  <si>
    <t>Weapon</t>
  </si>
  <si>
    <t>Misc Equipments</t>
  </si>
  <si>
    <t>Saving Throws</t>
  </si>
  <si>
    <t>Immunity</t>
  </si>
  <si>
    <t>Belt-on Items</t>
  </si>
  <si>
    <t>DEX Modifier</t>
  </si>
  <si>
    <t>Deflection Bonus</t>
  </si>
  <si>
    <t>Misc Bonus</t>
  </si>
  <si>
    <t>Uncanny Dodge</t>
  </si>
  <si>
    <t>Bluff</t>
  </si>
  <si>
    <t>Climb</t>
  </si>
  <si>
    <t xml:space="preserve">Craft: </t>
  </si>
  <si>
    <t>Diplomacy</t>
  </si>
  <si>
    <t>Acrobatics</t>
  </si>
  <si>
    <t>Acrobatics</t>
  </si>
  <si>
    <t>Disable Device</t>
  </si>
  <si>
    <t>Disguise</t>
  </si>
  <si>
    <t>Disguise</t>
  </si>
  <si>
    <t>Escape Artist</t>
  </si>
  <si>
    <t>Escape Artist</t>
  </si>
  <si>
    <t>Fly</t>
  </si>
  <si>
    <t>Fly</t>
  </si>
  <si>
    <t>Handle Animal</t>
  </si>
  <si>
    <t>Heal</t>
  </si>
  <si>
    <t>Heal</t>
  </si>
  <si>
    <t>Intimidate</t>
  </si>
  <si>
    <t>Intimidate</t>
  </si>
  <si>
    <t>Knowledge: Arcana</t>
  </si>
  <si>
    <t>Knowledge: Arcana</t>
  </si>
  <si>
    <t>Knowledge: Dungeoneering</t>
  </si>
  <si>
    <t>Knowledge: Engineering</t>
  </si>
  <si>
    <t>Knowledge: Engineering</t>
  </si>
  <si>
    <t>Knowledge: History</t>
  </si>
  <si>
    <t>Knowledge: Local</t>
  </si>
  <si>
    <t>Knowledge: Nature</t>
  </si>
  <si>
    <t>Knowledge: Local ()</t>
  </si>
  <si>
    <t>Knowledge: Nobility</t>
  </si>
  <si>
    <t>Knowledge: Nobility</t>
  </si>
  <si>
    <t>Knowledge: Planes</t>
  </si>
  <si>
    <t>Knowledge: Planes</t>
  </si>
  <si>
    <t>Knowledge: Religion</t>
  </si>
  <si>
    <t>Knowledge: Religion</t>
  </si>
  <si>
    <t>Linguistics</t>
  </si>
  <si>
    <t>Linguistics</t>
  </si>
  <si>
    <t>Perception</t>
  </si>
  <si>
    <t>Perception</t>
  </si>
  <si>
    <t xml:space="preserve">Perform: </t>
  </si>
  <si>
    <t xml:space="preserve">Profession: </t>
  </si>
  <si>
    <t>Ride</t>
  </si>
  <si>
    <t>Ride</t>
  </si>
  <si>
    <t>Sense Motive</t>
  </si>
  <si>
    <t>Sleight of Hand</t>
  </si>
  <si>
    <t>Spellcraft</t>
  </si>
  <si>
    <t>Stealth</t>
  </si>
  <si>
    <t>Stealth</t>
  </si>
  <si>
    <t>Survival</t>
  </si>
  <si>
    <t>Survival</t>
  </si>
  <si>
    <t>Swim</t>
  </si>
  <si>
    <t>Use Magic Device</t>
  </si>
  <si>
    <t>Skill Tricks</t>
  </si>
  <si>
    <t>CHA</t>
  </si>
  <si>
    <t>DEX</t>
  </si>
  <si>
    <t>STR</t>
  </si>
  <si>
    <t>クラススキル</t>
  </si>
  <si>
    <t>Yes</t>
  </si>
  <si>
    <t>No</t>
  </si>
  <si>
    <t>EXP Slow</t>
  </si>
  <si>
    <t>EXP Fast</t>
  </si>
  <si>
    <t>EXP Medium</t>
  </si>
  <si>
    <t>Size Modifier for CMB</t>
  </si>
  <si>
    <t>Bull Rush</t>
  </si>
  <si>
    <t>Feint</t>
  </si>
  <si>
    <t>Sunder</t>
  </si>
  <si>
    <t>Trip</t>
  </si>
  <si>
    <t>Grapple</t>
  </si>
  <si>
    <t>Overrun</t>
  </si>
  <si>
    <t>vs. Feint</t>
  </si>
  <si>
    <t>クラスによる技能ポイント+Favored Class</t>
  </si>
  <si>
    <t>Size</t>
  </si>
  <si>
    <t>=</t>
  </si>
  <si>
    <t>STR Modifier</t>
  </si>
  <si>
    <t>BAB</t>
  </si>
  <si>
    <t>Ability Modifier</t>
  </si>
  <si>
    <t>Total</t>
  </si>
  <si>
    <t>Misc</t>
  </si>
  <si>
    <t>Temporary</t>
  </si>
  <si>
    <t>Combat Maneuver Bonus</t>
  </si>
  <si>
    <t>能力値</t>
  </si>
  <si>
    <t>Size</t>
  </si>
  <si>
    <t>Race</t>
  </si>
  <si>
    <t>Luck</t>
  </si>
  <si>
    <t>Synergy</t>
  </si>
  <si>
    <t>Environment</t>
  </si>
  <si>
    <t>Competence</t>
  </si>
  <si>
    <t>Untrained</t>
  </si>
  <si>
    <t>Ranged Attack Bonus</t>
  </si>
  <si>
    <t>Will</t>
  </si>
  <si>
    <t>Reflex</t>
  </si>
  <si>
    <t>Fortitude</t>
  </si>
  <si>
    <t>CHA</t>
  </si>
  <si>
    <t>WIS</t>
  </si>
  <si>
    <t>INT</t>
  </si>
  <si>
    <t>CON</t>
  </si>
  <si>
    <t>DEX</t>
  </si>
  <si>
    <t>STR</t>
  </si>
  <si>
    <t>Combat Maneuver Bonus</t>
  </si>
  <si>
    <t>Melee Attack Bonus</t>
  </si>
  <si>
    <t>Arcane Spell Failure</t>
  </si>
  <si>
    <t>Armor Check Penalties</t>
  </si>
  <si>
    <t>Armor Class</t>
  </si>
  <si>
    <t>Armor Class</t>
  </si>
  <si>
    <t>Flat-footed</t>
  </si>
  <si>
    <t>Incorporeal</t>
  </si>
  <si>
    <t>Touch</t>
  </si>
  <si>
    <t>Initiative</t>
  </si>
  <si>
    <t>HP</t>
  </si>
  <si>
    <t>Natural Reach</t>
  </si>
  <si>
    <t>Base Attack Bonus</t>
  </si>
  <si>
    <t>Illustration</t>
  </si>
  <si>
    <t>Skills</t>
  </si>
  <si>
    <t>Language</t>
  </si>
  <si>
    <t>Class</t>
  </si>
  <si>
    <t>Caster Level</t>
  </si>
  <si>
    <t>Ability</t>
  </si>
  <si>
    <t>Class</t>
  </si>
  <si>
    <t>Caster Level</t>
  </si>
  <si>
    <t>Ability</t>
  </si>
  <si>
    <t>Experience Points</t>
  </si>
  <si>
    <t>Money</t>
  </si>
  <si>
    <t>Feat</t>
  </si>
  <si>
    <t>Special Ability</t>
  </si>
  <si>
    <t>Gears</t>
  </si>
  <si>
    <t>Equipments</t>
  </si>
  <si>
    <t>胴 (ローブ)</t>
  </si>
  <si>
    <t>Throat</t>
  </si>
  <si>
    <t>* Armor check penalties apply</t>
  </si>
  <si>
    <t># Class skill bonus apply</t>
  </si>
  <si>
    <t>Enhance Modifier</t>
  </si>
  <si>
    <t>HP・BAB</t>
  </si>
  <si>
    <t>Other Slot</t>
  </si>
  <si>
    <t>Other Slot</t>
  </si>
  <si>
    <t>Belt-on Items</t>
  </si>
  <si>
    <t>Bar</t>
  </si>
  <si>
    <t>Bar</t>
  </si>
  <si>
    <t>Barbarian(Armored Hulk)</t>
  </si>
  <si>
    <t>1d10</t>
  </si>
  <si>
    <t>x3</t>
  </si>
  <si>
    <t>19-20</t>
  </si>
  <si>
    <t>5ft.</t>
  </si>
  <si>
    <t>Ioun Stone, Pink (CON+2)</t>
  </si>
  <si>
    <t>Amulet of Natural Armor +3</t>
  </si>
  <si>
    <t>Potion</t>
  </si>
  <si>
    <t xml:space="preserve">  Fly</t>
  </si>
  <si>
    <t>Boots of Haste</t>
  </si>
  <si>
    <t>Weapon Focus</t>
  </si>
  <si>
    <t>Heavy Armor Proficiency</t>
  </si>
  <si>
    <t>Barbarian1</t>
  </si>
  <si>
    <t>Improved Critical</t>
  </si>
  <si>
    <t>Ragepower</t>
  </si>
  <si>
    <t>Beast Totem</t>
  </si>
  <si>
    <t>Lesser Beast Totem</t>
  </si>
  <si>
    <t>Claw</t>
  </si>
  <si>
    <t>Bite</t>
  </si>
  <si>
    <t>1d4</t>
  </si>
  <si>
    <t>Strength Surge</t>
  </si>
  <si>
    <t>Brb1</t>
  </si>
  <si>
    <t>Lunge</t>
  </si>
  <si>
    <t>Blind-Fight</t>
  </si>
  <si>
    <t>Toughness</t>
  </si>
  <si>
    <t>0</t>
  </si>
  <si>
    <t>0</t>
  </si>
  <si>
    <t>Critical Focus</t>
  </si>
  <si>
    <t>Hindering Critical(Entangle)</t>
  </si>
  <si>
    <t>Animal fury</t>
  </si>
  <si>
    <t>Glamered Splint Armor +1</t>
  </si>
  <si>
    <t>Cloak of Resistance +3</t>
  </si>
  <si>
    <t>Belf of Giant Strength +4</t>
  </si>
  <si>
    <t>Reckless Abandon</t>
  </si>
  <si>
    <t>MW Cold Iron Halbard</t>
  </si>
  <si>
    <t>MW Alchemical Silver Halbard</t>
  </si>
  <si>
    <t>Adamantine Halbard +2</t>
  </si>
  <si>
    <t>1d6</t>
  </si>
  <si>
    <t>x2</t>
  </si>
  <si>
    <t>+10</t>
  </si>
  <si>
    <t>AR16/Piercing</t>
  </si>
  <si>
    <t xml:space="preserve">  Lesser Restoration</t>
  </si>
  <si>
    <t xml:space="preserve">  Cure Light Wounds</t>
  </si>
  <si>
    <t>Adventurer's Equipments</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</si>
</sst>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quot;2d6+&quot;0"/>
    <numFmt numFmtId="178" formatCode="&quot;4d6+&quot;0"/>
    <numFmt numFmtId="179" formatCode="#,##0.000;[Red]\-#,##0.000"/>
    <numFmt numFmtId="180" formatCode="#,##0.0000;[Red]\-#,##0.0000"/>
    <numFmt numFmtId="181" formatCode="#,##0.0_ ;[Red]\-#,##0.0\ "/>
    <numFmt numFmtId="182" formatCode="#"/>
    <numFmt numFmtId="183" formatCode="_(* #,##0_);_(* \(#,##0\);_(* &quot;-&quot;_);_(@_)"/>
    <numFmt numFmtId="184" formatCode="_(&quot;$&quot;* #,##0_);_(&quot;$&quot;* \(#,##0\);_(&quot;$&quot;* &quot;-&quot;_);_(@_)"/>
    <numFmt numFmtId="185" formatCode="_(* #,##0.00_);_(* \(#,##0.00\);_(* &quot;-&quot;??_);_(@_)"/>
    <numFmt numFmtId="186" formatCode="_(&quot;$&quot;* #,##0.00_);_(&quot;$&quot;* \(#,##0.00\);_(&quot;$&quot;* &quot;-&quot;??_);_(@_)"/>
    <numFmt numFmtId="187" formatCode="#,##0.0;[Red]&quot;-&quot;#,##0.0"/>
    <numFmt numFmtId="188" formatCode="0_ "/>
    <numFmt numFmtId="189" formatCode="0.0_ "/>
    <numFmt numFmtId="190" formatCode="0.000"/>
    <numFmt numFmtId="191" formatCode="\(\ General\ \)"/>
    <numFmt numFmtId="192" formatCode="\(h\P\ General\ \)"/>
    <numFmt numFmtId="193" formatCode="&quot;(HP &quot;General&quot; )&quot;"/>
    <numFmt numFmtId="194" formatCode="\+#,##0;\-#,##0"/>
    <numFmt numFmtId="195" formatCode="&quot;+&quot;General&quot; /&quot;"/>
    <numFmt numFmtId="196" formatCode="\+0;\-0;\ 0"/>
    <numFmt numFmtId="197" formatCode="#\'"/>
    <numFmt numFmtId="198" formatCode="#.#\ \l\b"/>
    <numFmt numFmtId="199" formatCode="0.0_);[Red]\(0.0\)"/>
    <numFmt numFmtId="200" formatCode="0.000_);[Red]\(0.000\)"/>
    <numFmt numFmtId="201" formatCode="\+0.0;\-0.0;\ 0.0"/>
    <numFmt numFmtId="202" formatCode="\+0.00;\-0.00;\ 0.00"/>
    <numFmt numFmtId="203" formatCode="\+0.000;\-0.000;\ 0.000"/>
    <numFmt numFmtId="204" formatCode="\+0.0000;\-0.0000;\ 0.0000"/>
    <numFmt numFmtId="205" formatCode="\+0.00000;\-0.00000;\ 0.00000"/>
    <numFmt numFmtId="206" formatCode="\+0.000000;\-0.000000;\ 0.000000"/>
    <numFmt numFmtId="207" formatCode="\+0.0000000;\-0.0000000;\ 0.0000000"/>
    <numFmt numFmtId="208" formatCode="\+0.00000000;\-0.00000000;\ 0.00000000"/>
    <numFmt numFmtId="209" formatCode="\+0.000000000;\-0.000000000;\ 0.000000000"/>
    <numFmt numFmtId="210" formatCode="\+0.0000000000;\-0.0000000000;\ 0.0000000000"/>
    <numFmt numFmtId="211" formatCode="0.0"/>
    <numFmt numFmtId="212" formatCode="0.00_ "/>
    <numFmt numFmtId="213" formatCode="0_);[Red]\(0\)"/>
    <numFmt numFmtId="214" formatCode="&quot;Yes&quot;;&quot;Yes&quot;;&quot;No&quot;"/>
    <numFmt numFmtId="215" formatCode="&quot;True&quot;;&quot;True&quot;;&quot;False&quot;"/>
    <numFmt numFmtId="216" formatCode="&quot;On&quot;;&quot;On&quot;;&quot;Off&quot;"/>
    <numFmt numFmtId="217" formatCode="[$€-2]\ #,##0.00_);[Red]\([$€-2]\ #,##0.00\)"/>
    <numFmt numFmtId="218" formatCode="0.000_ "/>
    <numFmt numFmtId="219" formatCode="#,##0.0"/>
    <numFmt numFmtId="220" formatCode="#,##0.000"/>
    <numFmt numFmtId="221" formatCode="#,##0.0_);[Red]\(#,##0.0\)"/>
    <numFmt numFmtId="222" formatCode="#,##0.00_);[Red]\(#,##0.00\)"/>
    <numFmt numFmtId="223" formatCode="0.00_);[Red]\(0.00\)"/>
    <numFmt numFmtId="224" formatCode="0.0_ ;[Red]\-0.0\ "/>
    <numFmt numFmtId="225" formatCode="#,##0.00_ ;[Red]\-#,##0.00\ "/>
    <numFmt numFmtId="226" formatCode="#,##0_ ;[Red]\-#,##0\ "/>
  </numFmts>
  <fonts count="168">
    <font>
      <sz val="11"/>
      <name val="ＭＳ Ｐゴシック"/>
      <family val="3"/>
    </font>
    <font>
      <u val="single"/>
      <sz val="11"/>
      <color indexed="12"/>
      <name val="ＭＳ Ｐゴシック"/>
      <family val="3"/>
    </font>
    <font>
      <sz val="10"/>
      <name val="ＭＳ Ｐゴシック"/>
      <family val="3"/>
    </font>
    <font>
      <u val="single"/>
      <sz val="11"/>
      <color indexed="36"/>
      <name val="ＭＳ Ｐゴシック"/>
      <family val="3"/>
    </font>
    <font>
      <sz val="9"/>
      <name val="ＭＳ Ｐゴシック"/>
      <family val="3"/>
    </font>
    <font>
      <b/>
      <sz val="10"/>
      <name val="ＭＳ Ｐゴシック"/>
      <family val="3"/>
    </font>
    <font>
      <sz val="8"/>
      <name val="ＭＳ Ｐゴシック"/>
      <family val="3"/>
    </font>
    <font>
      <sz val="7"/>
      <name val="ＭＳ Ｐゴシック"/>
      <family val="3"/>
    </font>
    <font>
      <b/>
      <sz val="9"/>
      <name val="ＭＳ Ｐゴシック"/>
      <family val="3"/>
    </font>
    <font>
      <sz val="9"/>
      <color indexed="9"/>
      <name val="ＭＳ Ｐゴシック"/>
      <family val="3"/>
    </font>
    <font>
      <sz val="6"/>
      <name val="ＭＳ Ｐゴシック"/>
      <family val="3"/>
    </font>
    <font>
      <sz val="10"/>
      <color indexed="9"/>
      <name val="ＭＳ Ｐゴシック"/>
      <family val="3"/>
    </font>
    <font>
      <b/>
      <sz val="10"/>
      <color indexed="9"/>
      <name val="ＭＳ Ｐゴシック"/>
      <family val="3"/>
    </font>
    <font>
      <b/>
      <sz val="10"/>
      <name val="HGPｺﾞｼｯｸE"/>
      <family val="3"/>
    </font>
    <font>
      <b/>
      <sz val="8"/>
      <name val="ＭＳ Ｐゴシック"/>
      <family val="3"/>
    </font>
    <font>
      <sz val="7.5"/>
      <name val="ＭＳ Ｐゴシック"/>
      <family val="3"/>
    </font>
    <font>
      <sz val="9"/>
      <color indexed="43"/>
      <name val="ＭＳ Ｐゴシック"/>
      <family val="3"/>
    </font>
    <font>
      <sz val="10"/>
      <color indexed="10"/>
      <name val="ＭＳ Ｐゴシック"/>
      <family val="3"/>
    </font>
    <font>
      <sz val="9"/>
      <name val="MS UI Gothic"/>
      <family val="3"/>
    </font>
    <font>
      <sz val="11"/>
      <color indexed="10"/>
      <name val="ＭＳ Ｐゴシック"/>
      <family val="3"/>
    </font>
    <font>
      <sz val="9"/>
      <color indexed="23"/>
      <name val="ＭＳ Ｐゴシック"/>
      <family val="3"/>
    </font>
    <font>
      <sz val="5"/>
      <name val="ＭＳ Ｐゴシック"/>
      <family val="3"/>
    </font>
    <font>
      <sz val="8.5"/>
      <name val="ＭＳ Ｐゴシック"/>
      <family val="3"/>
    </font>
    <font>
      <b/>
      <vertAlign val="superscript"/>
      <sz val="14"/>
      <color indexed="10"/>
      <name val="ＭＳ Ｐゴシック"/>
      <family val="3"/>
    </font>
    <font>
      <b/>
      <sz val="14"/>
      <color indexed="10"/>
      <name val="ＭＳ Ｐゴシック"/>
      <family val="3"/>
    </font>
    <font>
      <b/>
      <sz val="12"/>
      <name val="Arial Unicode MS"/>
      <family val="3"/>
    </font>
    <font>
      <b/>
      <sz val="10"/>
      <name val="Arial Unicode MS"/>
      <family val="3"/>
    </font>
    <font>
      <b/>
      <sz val="11"/>
      <color indexed="10"/>
      <name val="ＭＳ Ｐゴシック"/>
      <family val="3"/>
    </font>
    <font>
      <b/>
      <sz val="10"/>
      <color indexed="10"/>
      <name val="ＭＳ Ｐゴシック"/>
      <family val="3"/>
    </font>
    <font>
      <sz val="8"/>
      <color indexed="10"/>
      <name val="ＭＳ Ｐゴシック"/>
      <family val="3"/>
    </font>
    <font>
      <b/>
      <sz val="11"/>
      <name val="ＭＳ Ｐゴシック"/>
      <family val="3"/>
    </font>
    <font>
      <b/>
      <u val="single"/>
      <sz val="12"/>
      <color indexed="12"/>
      <name val="ＭＳ Ｐゴシック"/>
      <family val="3"/>
    </font>
    <font>
      <b/>
      <sz val="10"/>
      <name val="Times New Roman"/>
      <family val="1"/>
    </font>
    <font>
      <sz val="8"/>
      <name val="Times New Roman"/>
      <family val="1"/>
    </font>
    <font>
      <sz val="11"/>
      <name val="HGPｺﾞｼｯｸM"/>
      <family val="3"/>
    </font>
    <font>
      <sz val="12"/>
      <name val="HGPｺﾞｼｯｸM"/>
      <family val="3"/>
    </font>
    <font>
      <sz val="8"/>
      <name val="HGPｺﾞｼｯｸM"/>
      <family val="3"/>
    </font>
    <font>
      <sz val="11"/>
      <color indexed="8"/>
      <name val="HGPｺﾞｼｯｸM"/>
      <family val="3"/>
    </font>
    <font>
      <sz val="10"/>
      <name val="HGPｺﾞｼｯｸM"/>
      <family val="3"/>
    </font>
    <font>
      <sz val="8"/>
      <name val="Arial"/>
      <family val="2"/>
    </font>
    <font>
      <sz val="14"/>
      <name val="HGPｺﾞｼｯｸM"/>
      <family val="3"/>
    </font>
    <font>
      <sz val="11"/>
      <color indexed="10"/>
      <name val="HGPｺﾞｼｯｸM"/>
      <family val="3"/>
    </font>
    <font>
      <sz val="8"/>
      <color indexed="10"/>
      <name val="HGPｺﾞｼｯｸM"/>
      <family val="3"/>
    </font>
    <font>
      <sz val="18"/>
      <name val="HGPｺﾞｼｯｸM"/>
      <family val="3"/>
    </font>
    <font>
      <sz val="8"/>
      <name val="Tahoma"/>
      <family val="2"/>
    </font>
    <font>
      <sz val="18"/>
      <name val="Tahoma"/>
      <family val="2"/>
    </font>
    <font>
      <sz val="16"/>
      <name val="Tahoma"/>
      <family val="2"/>
    </font>
    <font>
      <b/>
      <sz val="10"/>
      <color indexed="9"/>
      <name val="HGPｺﾞｼｯｸE"/>
      <family val="3"/>
    </font>
    <font>
      <sz val="14"/>
      <name val="Tahoma"/>
      <family val="2"/>
    </font>
    <font>
      <sz val="11"/>
      <color indexed="8"/>
      <name val="ＭＳ Ｐゴシック"/>
      <family val="3"/>
    </font>
    <font>
      <sz val="11"/>
      <color indexed="9"/>
      <name val="ＭＳ Ｐゴシック"/>
      <family val="3"/>
    </font>
    <font>
      <b/>
      <sz val="8"/>
      <color indexed="9"/>
      <name val="HGPｺﾞｼｯｸE"/>
      <family val="3"/>
    </font>
    <font>
      <b/>
      <sz val="8"/>
      <name val="HGPｺﾞｼｯｸE"/>
      <family val="3"/>
    </font>
    <font>
      <b/>
      <sz val="16"/>
      <color indexed="8"/>
      <name val="Tahoma"/>
      <family val="2"/>
    </font>
    <font>
      <b/>
      <sz val="16"/>
      <name val="Tahoma"/>
      <family val="2"/>
    </font>
    <font>
      <sz val="8"/>
      <color indexed="9"/>
      <name val="ＭＳ Ｐゴシック"/>
      <family val="3"/>
    </font>
    <font>
      <sz val="8"/>
      <color indexed="9"/>
      <name val="Tahoma"/>
      <family val="2"/>
    </font>
    <font>
      <sz val="8"/>
      <name val="HGPｺﾞｼｯｸE"/>
      <family val="3"/>
    </font>
    <font>
      <sz val="14"/>
      <color indexed="8"/>
      <name val="Tahoma"/>
      <family val="2"/>
    </font>
    <font>
      <sz val="8"/>
      <color indexed="63"/>
      <name val="Tahoma"/>
      <family val="2"/>
    </font>
    <font>
      <sz val="16"/>
      <color indexed="8"/>
      <name val="Tahoma"/>
      <family val="2"/>
    </font>
    <font>
      <sz val="14"/>
      <name val="ＭＳ Ｐゴシック"/>
      <family val="3"/>
    </font>
    <font>
      <b/>
      <sz val="14"/>
      <color indexed="9"/>
      <name val="HGPｺﾞｼｯｸE"/>
      <family val="3"/>
    </font>
    <font>
      <sz val="6"/>
      <color indexed="9"/>
      <name val="ＭＳ Ｐゴシック"/>
      <family val="3"/>
    </font>
    <font>
      <b/>
      <sz val="18"/>
      <name val="HGPｺﾞｼｯｸE"/>
      <family val="3"/>
    </font>
    <font>
      <sz val="10"/>
      <name val="Tahoma"/>
      <family val="2"/>
    </font>
    <font>
      <b/>
      <sz val="11"/>
      <color indexed="9"/>
      <name val="HGPｺﾞｼｯｸE"/>
      <family val="3"/>
    </font>
    <font>
      <sz val="22"/>
      <color indexed="10"/>
      <name val="Tahoma"/>
      <family val="2"/>
    </font>
    <font>
      <sz val="7"/>
      <name val="Tahoma"/>
      <family val="2"/>
    </font>
    <font>
      <sz val="8"/>
      <name val="HGｺﾞｼｯｸM"/>
      <family val="3"/>
    </font>
    <font>
      <b/>
      <sz val="12"/>
      <name val="ＭＳ Ｐゴシック"/>
      <family val="3"/>
    </font>
    <font>
      <b/>
      <sz val="12"/>
      <name val="Tahoma"/>
      <family val="2"/>
    </font>
    <font>
      <sz val="12"/>
      <name val="Tahoma"/>
      <family val="2"/>
    </font>
    <font>
      <sz val="11"/>
      <name val="HGPｺﾞｼｯｸE"/>
      <family val="3"/>
    </font>
    <font>
      <sz val="6"/>
      <name val="Tahoma"/>
      <family val="2"/>
    </font>
    <font>
      <b/>
      <sz val="10"/>
      <color indexed="9"/>
      <name val="HGPｺﾞｼｯｸM"/>
      <family val="3"/>
    </font>
    <font>
      <b/>
      <sz val="14"/>
      <color indexed="9"/>
      <name val="HGS創英角ｺﾞｼｯｸUB"/>
      <family val="3"/>
    </font>
    <font>
      <sz val="16"/>
      <name val="HGPｺﾞｼｯｸE"/>
      <family val="3"/>
    </font>
    <font>
      <sz val="14"/>
      <name val="HGPｺﾞｼｯｸE"/>
      <family val="3"/>
    </font>
    <font>
      <b/>
      <sz val="11"/>
      <name val="HGPｺﾞｼｯｸE"/>
      <family val="3"/>
    </font>
    <font>
      <sz val="18"/>
      <name val="HGPｺﾞｼｯｸE"/>
      <family val="3"/>
    </font>
    <font>
      <sz val="10"/>
      <color indexed="9"/>
      <name val="HGPｺﾞｼｯｸE"/>
      <family val="3"/>
    </font>
    <font>
      <sz val="7"/>
      <name val="HGPｺﾞｼｯｸM"/>
      <family val="3"/>
    </font>
    <font>
      <sz val="9"/>
      <name val="HGPｺﾞｼｯｸM"/>
      <family val="3"/>
    </font>
    <font>
      <b/>
      <sz val="12"/>
      <name val="HGPｺﾞｼｯｸM"/>
      <family val="3"/>
    </font>
    <font>
      <b/>
      <sz val="9"/>
      <name val="HGPｺﾞｼｯｸM"/>
      <family val="3"/>
    </font>
    <font>
      <b/>
      <sz val="12"/>
      <name val="HGPｺﾞｼｯｸE"/>
      <family val="3"/>
    </font>
    <font>
      <sz val="12"/>
      <name val="HGｺﾞｼｯｸM"/>
      <family val="3"/>
    </font>
    <font>
      <sz val="12"/>
      <name val="ＭＳ Ｐゴシック"/>
      <family val="3"/>
    </font>
    <font>
      <b/>
      <sz val="11"/>
      <name val="HGPｺﾞｼｯｸM"/>
      <family val="3"/>
    </font>
    <font>
      <b/>
      <sz val="16"/>
      <color indexed="12"/>
      <name val="ＭＳ Ｐゴシック"/>
      <family val="3"/>
    </font>
    <font>
      <sz val="11"/>
      <color indexed="45"/>
      <name val="ＭＳ Ｐゴシック"/>
      <family val="3"/>
    </font>
    <font>
      <b/>
      <sz val="9"/>
      <color indexed="9"/>
      <name val="HGPｺﾞｼｯｸE"/>
      <family val="3"/>
    </font>
    <font>
      <sz val="9"/>
      <name val="HGPｺﾞｼｯｸE"/>
      <family val="3"/>
    </font>
    <font>
      <sz val="7.5"/>
      <name val="HGPｺﾞｼｯｸM"/>
      <family val="3"/>
    </font>
    <font>
      <sz val="14"/>
      <color indexed="10"/>
      <name val="Tahoma"/>
      <family val="2"/>
    </font>
    <font>
      <sz val="11"/>
      <color indexed="9"/>
      <name val="HGPｺﾞｼｯｸM"/>
      <family val="3"/>
    </font>
    <font>
      <sz val="14"/>
      <color indexed="9"/>
      <name val="Tahoma"/>
      <family val="2"/>
    </font>
    <font>
      <sz val="8"/>
      <color indexed="8"/>
      <name val="Tahoma"/>
      <family val="2"/>
    </font>
    <font>
      <sz val="10"/>
      <name val="Arial"/>
      <family val="2"/>
    </font>
    <font>
      <sz val="14"/>
      <name val="Arial"/>
      <family val="2"/>
    </font>
    <font>
      <sz val="11"/>
      <name val="Arial"/>
      <family val="2"/>
    </font>
    <font>
      <sz val="9"/>
      <name val="Arial"/>
      <family val="2"/>
    </font>
    <font>
      <sz val="8"/>
      <color indexed="10"/>
      <name val="Arial"/>
      <family val="2"/>
    </font>
    <font>
      <b/>
      <sz val="8"/>
      <name val="Arial"/>
      <family val="2"/>
    </font>
    <font>
      <b/>
      <sz val="10"/>
      <name val="Arial"/>
      <family val="2"/>
    </font>
    <font>
      <b/>
      <sz val="10"/>
      <color indexed="10"/>
      <name val="Arial"/>
      <family val="2"/>
    </font>
    <font>
      <b/>
      <sz val="7"/>
      <name val="Arial"/>
      <family val="2"/>
    </font>
    <font>
      <sz val="6"/>
      <name val="Arial"/>
      <family val="2"/>
    </font>
    <font>
      <sz val="16"/>
      <name val="Arial"/>
      <family val="2"/>
    </font>
    <font>
      <sz val="7.5"/>
      <name val="Arial"/>
      <family val="2"/>
    </font>
    <font>
      <sz val="12"/>
      <name val="Arial"/>
      <family val="2"/>
    </font>
    <font>
      <sz val="8"/>
      <color indexed="9"/>
      <name val="Arial"/>
      <family val="2"/>
    </font>
    <font>
      <sz val="18"/>
      <name val="Arial"/>
      <family val="2"/>
    </font>
    <font>
      <b/>
      <sz val="7.5"/>
      <name val="Arial"/>
      <family val="2"/>
    </font>
    <font>
      <b/>
      <sz val="18"/>
      <name val="Arial"/>
      <family val="2"/>
    </font>
    <font>
      <sz val="14"/>
      <color indexed="8"/>
      <name val="Arial"/>
      <family val="2"/>
    </font>
    <font>
      <b/>
      <sz val="6"/>
      <color indexed="9"/>
      <name val="Arial"/>
      <family val="2"/>
    </font>
    <font>
      <b/>
      <sz val="8"/>
      <color indexed="9"/>
      <name val="Arial"/>
      <family val="2"/>
    </font>
    <font>
      <sz val="7"/>
      <name val="Arial"/>
      <family val="2"/>
    </font>
    <font>
      <b/>
      <sz val="14"/>
      <name val="Arial"/>
      <family val="2"/>
    </font>
    <font>
      <b/>
      <sz val="12"/>
      <name val="Arial"/>
      <family val="2"/>
    </font>
    <font>
      <sz val="14"/>
      <color indexed="9"/>
      <name val="Arial"/>
      <family val="2"/>
    </font>
    <font>
      <b/>
      <sz val="14"/>
      <color indexed="9"/>
      <name val="Arial"/>
      <family val="2"/>
    </font>
    <font>
      <sz val="11"/>
      <color indexed="9"/>
      <name val="Arial"/>
      <family val="2"/>
    </font>
    <font>
      <b/>
      <sz val="11"/>
      <name val="Arial"/>
      <family val="2"/>
    </font>
    <font>
      <sz val="18"/>
      <color indexed="8"/>
      <name val="Arial"/>
      <family val="2"/>
    </font>
    <font>
      <b/>
      <sz val="22"/>
      <color indexed="63"/>
      <name val="Arial"/>
      <family val="2"/>
    </font>
    <font>
      <b/>
      <sz val="18"/>
      <color indexed="9"/>
      <name val="Arial Black"/>
      <family val="2"/>
    </font>
    <font>
      <sz val="11"/>
      <name val="Arial Black"/>
      <family val="2"/>
    </font>
    <font>
      <sz val="18"/>
      <name val="Arial Black"/>
      <family val="2"/>
    </font>
    <font>
      <b/>
      <sz val="11"/>
      <color indexed="9"/>
      <name val="Arial"/>
      <family val="2"/>
    </font>
    <font>
      <b/>
      <sz val="12"/>
      <color indexed="9"/>
      <name val="Arial"/>
      <family val="2"/>
    </font>
    <font>
      <b/>
      <sz val="16"/>
      <color indexed="9"/>
      <name val="Arial Black"/>
      <family val="2"/>
    </font>
    <font>
      <b/>
      <sz val="14"/>
      <color indexed="9"/>
      <name val="Arial Black"/>
      <family val="2"/>
    </font>
    <font>
      <sz val="16"/>
      <name val="Arial Black"/>
      <family val="2"/>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ＳＨ Ｇ30-P"/>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14"/>
        <bgColor indexed="64"/>
      </patternFill>
    </fill>
    <fill>
      <patternFill patternType="solid">
        <fgColor indexed="11"/>
        <bgColor indexed="64"/>
      </patternFill>
    </fill>
    <fill>
      <patternFill patternType="solid">
        <fgColor indexed="51"/>
        <bgColor indexed="64"/>
      </patternFill>
    </fill>
    <fill>
      <patternFill patternType="solid">
        <fgColor indexed="15"/>
        <bgColor indexed="64"/>
      </patternFill>
    </fill>
    <fill>
      <patternFill patternType="solid">
        <fgColor indexed="40"/>
        <bgColor indexed="64"/>
      </patternFill>
    </fill>
    <fill>
      <patternFill patternType="solid">
        <fgColor indexed="46"/>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4"/>
        <bgColor indexed="64"/>
      </patternFill>
    </fill>
    <fill>
      <patternFill patternType="solid">
        <fgColor indexed="47"/>
        <bgColor indexed="64"/>
      </patternFill>
    </fill>
    <fill>
      <patternFill patternType="solid">
        <fgColor indexed="45"/>
        <bgColor indexed="64"/>
      </patternFill>
    </fill>
    <fill>
      <patternFill patternType="solid">
        <fgColor indexed="9"/>
        <bgColor indexed="64"/>
      </patternFill>
    </fill>
    <fill>
      <patternFill patternType="solid">
        <fgColor rgb="FF99FF99"/>
        <bgColor indexed="64"/>
      </patternFill>
    </fill>
    <fill>
      <patternFill patternType="solid">
        <fgColor theme="0" tint="-0.24993999302387238"/>
        <bgColor indexed="64"/>
      </patternFill>
    </fill>
    <fill>
      <patternFill patternType="solid">
        <fgColor indexed="8"/>
        <bgColor indexed="64"/>
      </patternFill>
    </fill>
    <fill>
      <patternFill patternType="solid">
        <fgColor indexed="48"/>
        <bgColor indexed="64"/>
      </patternFill>
    </fill>
    <fill>
      <patternFill patternType="solid">
        <fgColor rgb="FFCCFFFF"/>
        <bgColor indexed="64"/>
      </patternFill>
    </fill>
    <fill>
      <patternFill patternType="solid">
        <fgColor indexed="52"/>
        <bgColor indexed="64"/>
      </patternFill>
    </fill>
    <fill>
      <patternFill patternType="solid">
        <fgColor indexed="57"/>
        <bgColor indexed="64"/>
      </patternFill>
    </fill>
    <fill>
      <patternFill patternType="solid">
        <fgColor indexed="22"/>
        <bgColor indexed="64"/>
      </patternFill>
    </fill>
  </fills>
  <borders count="2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style="thin"/>
      <top style="thin"/>
      <bottom style="thin"/>
    </border>
    <border>
      <left style="medium"/>
      <right style="medium"/>
      <top style="medium"/>
      <bottom style="medium"/>
    </border>
    <border>
      <left style="medium">
        <color indexed="10"/>
      </left>
      <right style="medium">
        <color indexed="10"/>
      </right>
      <top style="medium">
        <color indexed="10"/>
      </top>
      <bottom>
        <color indexed="63"/>
      </bottom>
    </border>
    <border>
      <left style="medium">
        <color indexed="10"/>
      </left>
      <right style="medium">
        <color indexed="10"/>
      </right>
      <top>
        <color indexed="63"/>
      </top>
      <bottom>
        <color indexed="63"/>
      </bottom>
    </border>
    <border>
      <left>
        <color indexed="63"/>
      </left>
      <right style="medium">
        <color indexed="10"/>
      </right>
      <top>
        <color indexed="63"/>
      </top>
      <bottom>
        <color indexed="63"/>
      </bottom>
    </border>
    <border>
      <left style="medium">
        <color indexed="10"/>
      </left>
      <right>
        <color indexed="63"/>
      </right>
      <top>
        <color indexed="63"/>
      </top>
      <bottom>
        <color indexed="63"/>
      </bottom>
    </border>
    <border>
      <left>
        <color indexed="63"/>
      </left>
      <right>
        <color indexed="63"/>
      </right>
      <top style="medium">
        <color indexed="10"/>
      </top>
      <bottom style="medium">
        <color indexed="10"/>
      </bottom>
    </border>
    <border>
      <left style="medium">
        <color indexed="10"/>
      </left>
      <right style="medium">
        <color indexed="10"/>
      </right>
      <top>
        <color indexed="63"/>
      </top>
      <bottom style="medium">
        <color indexed="10"/>
      </bottom>
    </border>
    <border>
      <left style="medium"/>
      <right style="medium"/>
      <top style="thin"/>
      <bottom style="thin"/>
    </border>
    <border>
      <left style="medium"/>
      <right style="thin"/>
      <top style="thin"/>
      <bottom style="thin"/>
    </border>
    <border>
      <left>
        <color indexed="63"/>
      </left>
      <right style="medium"/>
      <top style="thin"/>
      <bottom style="thin"/>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medium"/>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color indexed="8"/>
      </left>
      <right style="thin">
        <color indexed="8"/>
      </right>
      <top style="thin">
        <color indexed="8"/>
      </top>
      <bottom>
        <color indexed="63"/>
      </bottom>
    </border>
    <border>
      <left style="medium">
        <color indexed="8"/>
      </left>
      <right style="thin">
        <color indexed="8"/>
      </right>
      <top>
        <color indexed="63"/>
      </top>
      <bottom>
        <color indexed="63"/>
      </bottom>
    </border>
    <border>
      <left style="medium">
        <color indexed="8"/>
      </left>
      <right style="medium">
        <color indexed="8"/>
      </right>
      <top style="thin">
        <color indexed="8"/>
      </top>
      <bottom>
        <color indexed="63"/>
      </bottom>
    </border>
    <border>
      <left style="medium">
        <color indexed="8"/>
      </left>
      <right style="medium">
        <color indexed="8"/>
      </right>
      <top>
        <color indexed="63"/>
      </top>
      <bottom>
        <color indexed="63"/>
      </bottom>
    </border>
    <border>
      <left style="medium">
        <color indexed="8"/>
      </left>
      <right style="thin">
        <color indexed="8"/>
      </right>
      <top>
        <color indexed="63"/>
      </top>
      <bottom style="thin">
        <color indexed="8"/>
      </bottom>
    </border>
    <border>
      <left>
        <color indexed="63"/>
      </left>
      <right>
        <color indexed="63"/>
      </right>
      <top style="thin">
        <color indexed="8"/>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style="medium"/>
    </border>
    <border>
      <left style="thin"/>
      <right style="hair"/>
      <top style="hair"/>
      <bottom style="hair"/>
    </border>
    <border>
      <left>
        <color indexed="63"/>
      </left>
      <right style="hair"/>
      <top style="hair"/>
      <bottom style="hair"/>
    </border>
    <border>
      <left style="hair"/>
      <right style="hair"/>
      <top style="hair"/>
      <bottom style="hair"/>
    </border>
    <border>
      <left style="thin"/>
      <right style="hair"/>
      <top style="hair"/>
      <bottom style="thin"/>
    </border>
    <border>
      <left>
        <color indexed="63"/>
      </left>
      <right style="hair"/>
      <top style="hair"/>
      <bottom style="thin"/>
    </border>
    <border>
      <left style="hair"/>
      <right style="hair"/>
      <top style="hair"/>
      <bottom style="thin"/>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color indexed="63"/>
      </right>
      <top>
        <color indexed="63"/>
      </top>
      <bottom style="hair"/>
    </border>
    <border>
      <left>
        <color indexed="63"/>
      </left>
      <right>
        <color indexed="63"/>
      </right>
      <top style="hair"/>
      <bottom style="hair"/>
    </border>
    <border>
      <left style="thin"/>
      <right style="thin"/>
      <top>
        <color indexed="63"/>
      </top>
      <bottom>
        <color indexed="63"/>
      </bottom>
    </border>
    <border>
      <left style="thin"/>
      <right style="thin"/>
      <top>
        <color indexed="63"/>
      </top>
      <bottom style="thin"/>
    </border>
    <border>
      <left style="thin"/>
      <right style="medium"/>
      <top>
        <color indexed="63"/>
      </top>
      <bottom style="thin"/>
    </border>
    <border>
      <left>
        <color indexed="63"/>
      </left>
      <right>
        <color indexed="63"/>
      </right>
      <top style="hair"/>
      <bottom>
        <color indexed="63"/>
      </bottom>
    </border>
    <border>
      <left style="hair"/>
      <right>
        <color indexed="63"/>
      </right>
      <top style="hair"/>
      <bottom style="hair"/>
    </border>
    <border>
      <left style="medium"/>
      <right>
        <color indexed="63"/>
      </right>
      <top style="thin"/>
      <bottom style="thin"/>
    </border>
    <border>
      <left>
        <color indexed="63"/>
      </left>
      <right style="medium">
        <color indexed="10"/>
      </right>
      <top style="medium">
        <color indexed="10"/>
      </top>
      <bottom>
        <color indexed="63"/>
      </bottom>
    </border>
    <border>
      <left>
        <color indexed="63"/>
      </left>
      <right style="medium">
        <color indexed="10"/>
      </right>
      <top>
        <color indexed="63"/>
      </top>
      <bottom style="medium">
        <color indexed="10"/>
      </bottom>
    </border>
    <border>
      <left>
        <color indexed="63"/>
      </left>
      <right style="thin">
        <color indexed="8"/>
      </right>
      <top style="thin">
        <color indexed="8"/>
      </top>
      <bottom style="thin">
        <color indexed="8"/>
      </bottom>
    </border>
    <border>
      <left>
        <color indexed="63"/>
      </left>
      <right>
        <color indexed="63"/>
      </right>
      <top style="medium">
        <color indexed="12"/>
      </top>
      <bottom>
        <color indexed="63"/>
      </bottom>
    </border>
    <border>
      <left style="medium"/>
      <right>
        <color indexed="63"/>
      </right>
      <top>
        <color indexed="63"/>
      </top>
      <bottom style="thin"/>
    </border>
    <border>
      <left style="medium">
        <color indexed="8"/>
      </left>
      <right style="medium">
        <color indexed="8"/>
      </right>
      <top>
        <color indexed="63"/>
      </top>
      <bottom style="thin">
        <color indexed="8"/>
      </bottom>
    </border>
    <border>
      <left>
        <color indexed="63"/>
      </left>
      <right style="medium">
        <color indexed="63"/>
      </right>
      <top style="medium"/>
      <bottom>
        <color indexed="63"/>
      </bottom>
    </border>
    <border>
      <left style="medium"/>
      <right style="medium"/>
      <top>
        <color indexed="63"/>
      </top>
      <bottom>
        <color indexed="63"/>
      </bottom>
    </border>
    <border>
      <left>
        <color indexed="63"/>
      </left>
      <right style="thin"/>
      <top style="thin"/>
      <bottom style="thin"/>
    </border>
    <border>
      <left style="medium"/>
      <right>
        <color indexed="63"/>
      </right>
      <top style="thin"/>
      <bottom style="medium"/>
    </border>
    <border>
      <left>
        <color indexed="63"/>
      </left>
      <right style="medium"/>
      <top style="thin"/>
      <bottom style="medium"/>
    </border>
    <border>
      <left style="thin"/>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thin"/>
      <top style="medium"/>
      <bottom>
        <color indexed="63"/>
      </bottom>
    </border>
    <border>
      <left>
        <color indexed="63"/>
      </left>
      <right>
        <color indexed="63"/>
      </right>
      <top>
        <color indexed="63"/>
      </top>
      <bottom style="medium"/>
    </border>
    <border>
      <left style="thin"/>
      <right style="thin"/>
      <top style="medium"/>
      <bottom style="thin"/>
    </border>
    <border>
      <left style="thin"/>
      <right>
        <color indexed="63"/>
      </right>
      <top style="medium"/>
      <bottom>
        <color indexed="63"/>
      </bottom>
    </border>
    <border>
      <left style="thin"/>
      <right>
        <color indexed="63"/>
      </right>
      <top style="thin"/>
      <bottom style="medium"/>
    </border>
    <border>
      <left>
        <color indexed="63"/>
      </left>
      <right style="hair"/>
      <top style="thin"/>
      <bottom style="medium"/>
    </border>
    <border>
      <left style="thin"/>
      <right style="thin"/>
      <top style="medium"/>
      <bottom>
        <color indexed="63"/>
      </bottom>
    </border>
    <border>
      <left style="medium"/>
      <right>
        <color indexed="63"/>
      </right>
      <top>
        <color indexed="63"/>
      </top>
      <bottom style="medium"/>
    </border>
    <border>
      <left style="thin"/>
      <right style="thin"/>
      <top style="thin"/>
      <bottom style="medium"/>
    </border>
    <border>
      <left style="thin"/>
      <right style="thin"/>
      <top style="medium"/>
      <bottom style="medium"/>
    </border>
    <border>
      <left>
        <color indexed="63"/>
      </left>
      <right style="medium"/>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style="medium"/>
      <bottom style="thin"/>
    </border>
    <border>
      <left>
        <color indexed="63"/>
      </left>
      <right style="medium"/>
      <top style="medium"/>
      <bottom style="thin"/>
    </border>
    <border>
      <left>
        <color indexed="63"/>
      </left>
      <right style="thin"/>
      <top style="medium"/>
      <bottom style="medium"/>
    </border>
    <border>
      <left style="hair"/>
      <right>
        <color indexed="63"/>
      </right>
      <top style="thin"/>
      <bottom style="medium"/>
    </border>
    <border>
      <left>
        <color indexed="63"/>
      </left>
      <right style="thin"/>
      <top style="thin"/>
      <bottom style="medium"/>
    </border>
    <border>
      <left style="double"/>
      <right>
        <color indexed="63"/>
      </right>
      <top style="double"/>
      <bottom style="double"/>
    </border>
    <border>
      <left>
        <color indexed="63"/>
      </left>
      <right style="thin"/>
      <top style="double"/>
      <bottom style="double"/>
    </border>
    <border>
      <left style="thin"/>
      <right>
        <color indexed="63"/>
      </right>
      <top style="double"/>
      <bottom style="double"/>
    </border>
    <border>
      <left>
        <color indexed="63"/>
      </left>
      <right>
        <color indexed="63"/>
      </right>
      <top style="double"/>
      <bottom style="double"/>
    </border>
    <border>
      <left>
        <color indexed="63"/>
      </left>
      <right style="medium"/>
      <top style="double"/>
      <bottom style="double"/>
    </border>
    <border>
      <left>
        <color indexed="63"/>
      </left>
      <right style="medium"/>
      <top>
        <color indexed="63"/>
      </top>
      <bottom style="thin"/>
    </border>
    <border>
      <left style="medium"/>
      <right>
        <color indexed="63"/>
      </right>
      <top style="double"/>
      <bottom style="double"/>
    </border>
    <border>
      <left style="thin"/>
      <right style="thin"/>
      <top style="double"/>
      <bottom style="double"/>
    </border>
    <border>
      <left style="thin"/>
      <right style="double"/>
      <top style="double"/>
      <bottom style="double"/>
    </border>
    <border>
      <left style="thin">
        <color indexed="8"/>
      </left>
      <right>
        <color indexed="63"/>
      </right>
      <top style="thin"/>
      <bottom style="thin"/>
    </border>
    <border>
      <left>
        <color indexed="63"/>
      </left>
      <right style="thin">
        <color indexed="8"/>
      </right>
      <top style="thin"/>
      <bottom style="thin"/>
    </border>
    <border>
      <left style="medium">
        <color indexed="8"/>
      </left>
      <right>
        <color indexed="63"/>
      </right>
      <top style="thin"/>
      <bottom style="thin"/>
    </border>
    <border>
      <left style="thin"/>
      <right style="medium"/>
      <top style="thin"/>
      <bottom>
        <color indexed="63"/>
      </bottom>
    </border>
    <border>
      <left>
        <color indexed="63"/>
      </left>
      <right style="medium"/>
      <top style="thin"/>
      <bottom>
        <color indexed="63"/>
      </bottom>
    </border>
    <border>
      <left>
        <color indexed="63"/>
      </left>
      <right style="medium">
        <color indexed="8"/>
      </right>
      <top style="thin"/>
      <bottom style="thin"/>
    </border>
    <border>
      <left style="thin">
        <color indexed="8"/>
      </left>
      <right style="thin">
        <color indexed="8"/>
      </right>
      <top style="thin"/>
      <bottom style="thin"/>
    </border>
    <border>
      <left style="thin"/>
      <right>
        <color indexed="63"/>
      </right>
      <top style="medium"/>
      <bottom style="thin"/>
    </border>
    <border>
      <left style="medium"/>
      <right style="thin"/>
      <top style="medium"/>
      <bottom style="thin"/>
    </border>
    <border>
      <left style="thin"/>
      <right style="medium"/>
      <top style="medium"/>
      <bottom style="thin"/>
    </border>
    <border>
      <left>
        <color indexed="63"/>
      </left>
      <right style="thin"/>
      <top style="medium"/>
      <bottom style="thin"/>
    </border>
    <border>
      <left style="medium"/>
      <right>
        <color indexed="63"/>
      </right>
      <top style="thin"/>
      <bottom>
        <color indexed="63"/>
      </bottom>
    </border>
    <border>
      <left>
        <color indexed="63"/>
      </left>
      <right style="medium">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medium">
        <color indexed="8"/>
      </right>
      <top style="thin">
        <color indexed="8"/>
      </top>
      <bottom>
        <color indexed="63"/>
      </bottom>
    </border>
    <border>
      <left style="thin">
        <color indexed="8"/>
      </left>
      <right style="medium">
        <color indexed="8"/>
      </right>
      <top>
        <color indexed="63"/>
      </top>
      <bottom style="thin">
        <color indexed="8"/>
      </bottom>
    </border>
    <border>
      <left style="thin"/>
      <right>
        <color indexed="63"/>
      </right>
      <top style="thin"/>
      <bottom style="hair"/>
    </border>
    <border>
      <left>
        <color indexed="63"/>
      </left>
      <right>
        <color indexed="63"/>
      </right>
      <top style="thin"/>
      <bottom style="hair"/>
    </border>
    <border>
      <left style="medium">
        <color indexed="63"/>
      </left>
      <right>
        <color indexed="63"/>
      </right>
      <top style="medium">
        <color indexed="63"/>
      </top>
      <bottom>
        <color indexed="63"/>
      </bottom>
    </border>
    <border>
      <left>
        <color indexed="63"/>
      </left>
      <right>
        <color indexed="63"/>
      </right>
      <top style="medium">
        <color indexed="63"/>
      </top>
      <bottom>
        <color indexed="63"/>
      </bottom>
    </border>
    <border>
      <left>
        <color indexed="63"/>
      </left>
      <right style="medium">
        <color indexed="63"/>
      </right>
      <top style="medium">
        <color indexed="63"/>
      </top>
      <bottom>
        <color indexed="63"/>
      </bottom>
    </border>
    <border>
      <left style="medium">
        <color indexed="63"/>
      </left>
      <right>
        <color indexed="63"/>
      </right>
      <top>
        <color indexed="63"/>
      </top>
      <bottom>
        <color indexed="63"/>
      </bottom>
    </border>
    <border>
      <left>
        <color indexed="63"/>
      </left>
      <right style="medium">
        <color indexed="63"/>
      </right>
      <top>
        <color indexed="63"/>
      </top>
      <bottom>
        <color indexed="63"/>
      </bottom>
    </border>
    <border>
      <left style="medium">
        <color indexed="63"/>
      </left>
      <right>
        <color indexed="63"/>
      </right>
      <top>
        <color indexed="63"/>
      </top>
      <bottom style="medium">
        <color indexed="63"/>
      </bottom>
    </border>
    <border>
      <left>
        <color indexed="63"/>
      </left>
      <right>
        <color indexed="63"/>
      </right>
      <top>
        <color indexed="63"/>
      </top>
      <bottom style="medium">
        <color indexed="63"/>
      </bottom>
    </border>
    <border>
      <left>
        <color indexed="63"/>
      </left>
      <right style="medium">
        <color indexed="63"/>
      </right>
      <top>
        <color indexed="63"/>
      </top>
      <bottom style="medium">
        <color indexed="63"/>
      </bottom>
    </border>
    <border>
      <left style="hair"/>
      <right style="thin"/>
      <top style="hair"/>
      <bottom style="hair"/>
    </border>
    <border>
      <left style="hair"/>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color indexed="63"/>
      </left>
      <right style="hair"/>
      <top style="hair"/>
      <bottom>
        <color indexed="63"/>
      </bottom>
    </border>
    <border>
      <left style="hair"/>
      <right style="hair"/>
      <top style="hair"/>
      <bottom>
        <color indexed="63"/>
      </bottom>
    </border>
    <border>
      <left style="thin"/>
      <right style="hair"/>
      <top style="hair"/>
      <bottom>
        <color indexed="63"/>
      </bottom>
    </border>
    <border>
      <left style="medium">
        <color indexed="63"/>
      </left>
      <right style="medium">
        <color indexed="63"/>
      </right>
      <top style="medium">
        <color indexed="63"/>
      </top>
      <bottom>
        <color indexed="63"/>
      </bottom>
    </border>
    <border>
      <left style="medium">
        <color indexed="63"/>
      </left>
      <right style="medium">
        <color indexed="63"/>
      </right>
      <top>
        <color indexed="63"/>
      </top>
      <bottom style="medium">
        <color indexed="63"/>
      </bottom>
    </border>
    <border>
      <left style="thick">
        <color indexed="22"/>
      </left>
      <right>
        <color indexed="63"/>
      </right>
      <top style="thick">
        <color indexed="22"/>
      </top>
      <bottom>
        <color indexed="63"/>
      </bottom>
    </border>
    <border>
      <left>
        <color indexed="63"/>
      </left>
      <right>
        <color indexed="63"/>
      </right>
      <top style="thick">
        <color indexed="22"/>
      </top>
      <bottom>
        <color indexed="63"/>
      </bottom>
    </border>
    <border>
      <left>
        <color indexed="63"/>
      </left>
      <right style="thick">
        <color indexed="22"/>
      </right>
      <top style="thick">
        <color indexed="22"/>
      </top>
      <bottom>
        <color indexed="63"/>
      </bottom>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style="thick">
        <color indexed="22"/>
      </left>
      <right>
        <color indexed="63"/>
      </right>
      <top>
        <color indexed="63"/>
      </top>
      <bottom style="thick">
        <color indexed="22"/>
      </bottom>
    </border>
    <border>
      <left>
        <color indexed="63"/>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23"/>
      </left>
      <right>
        <color indexed="63"/>
      </right>
      <top style="medium">
        <color indexed="23"/>
      </top>
      <bottom>
        <color indexed="63"/>
      </bottom>
    </border>
    <border>
      <left>
        <color indexed="63"/>
      </left>
      <right>
        <color indexed="63"/>
      </right>
      <top style="medium">
        <color indexed="23"/>
      </top>
      <bottom>
        <color indexed="63"/>
      </bottom>
    </border>
    <border>
      <left>
        <color indexed="63"/>
      </left>
      <right style="medium">
        <color indexed="23"/>
      </right>
      <top style="medium">
        <color indexed="23"/>
      </top>
      <bottom>
        <color indexed="63"/>
      </bottom>
    </border>
    <border>
      <left style="medium">
        <color indexed="23"/>
      </left>
      <right>
        <color indexed="63"/>
      </right>
      <top>
        <color indexed="63"/>
      </top>
      <bottom>
        <color indexed="63"/>
      </bottom>
    </border>
    <border>
      <left>
        <color indexed="63"/>
      </left>
      <right style="medium">
        <color indexed="23"/>
      </right>
      <top>
        <color indexed="63"/>
      </top>
      <bottom>
        <color indexed="63"/>
      </bottom>
    </border>
    <border>
      <left style="medium">
        <color indexed="23"/>
      </left>
      <right>
        <color indexed="63"/>
      </right>
      <top>
        <color indexed="63"/>
      </top>
      <bottom style="medium">
        <color indexed="23"/>
      </bottom>
    </border>
    <border>
      <left>
        <color indexed="63"/>
      </left>
      <right>
        <color indexed="63"/>
      </right>
      <top>
        <color indexed="63"/>
      </top>
      <bottom style="medium">
        <color indexed="23"/>
      </bottom>
    </border>
    <border>
      <left>
        <color indexed="63"/>
      </left>
      <right style="medium">
        <color indexed="23"/>
      </right>
      <top>
        <color indexed="63"/>
      </top>
      <bottom style="medium">
        <color indexed="23"/>
      </bottom>
    </border>
    <border>
      <left style="medium">
        <color indexed="63"/>
      </left>
      <right style="medium">
        <color indexed="63"/>
      </right>
      <top>
        <color indexed="63"/>
      </top>
      <bottom>
        <color indexed="63"/>
      </bottom>
    </border>
    <border>
      <left>
        <color indexed="63"/>
      </left>
      <right>
        <color indexed="63"/>
      </right>
      <top style="medium">
        <color indexed="23"/>
      </top>
      <bottom style="medium">
        <color indexed="23"/>
      </bottom>
    </border>
    <border>
      <left>
        <color indexed="63"/>
      </left>
      <right>
        <color indexed="63"/>
      </right>
      <top style="medium"/>
      <bottom style="thin"/>
    </border>
    <border>
      <left style="hair"/>
      <right style="thin"/>
      <top style="hair"/>
      <bottom>
        <color indexed="63"/>
      </bottom>
    </border>
    <border>
      <left style="medium">
        <color indexed="63"/>
      </left>
      <right>
        <color indexed="63"/>
      </right>
      <top style="medium">
        <color indexed="63"/>
      </top>
      <bottom style="medium">
        <color indexed="63"/>
      </bottom>
    </border>
    <border>
      <left>
        <color indexed="63"/>
      </left>
      <right>
        <color indexed="63"/>
      </right>
      <top style="medium">
        <color indexed="63"/>
      </top>
      <bottom style="medium">
        <color indexed="63"/>
      </bottom>
    </border>
    <border>
      <left>
        <color indexed="63"/>
      </left>
      <right style="medium">
        <color indexed="63"/>
      </right>
      <top style="medium">
        <color indexed="63"/>
      </top>
      <bottom style="medium">
        <color indexed="63"/>
      </bottom>
    </border>
    <border>
      <left style="medium">
        <color indexed="63"/>
      </left>
      <right style="medium">
        <color indexed="12"/>
      </right>
      <top style="medium">
        <color indexed="63"/>
      </top>
      <bottom>
        <color indexed="63"/>
      </bottom>
    </border>
    <border>
      <left style="medium">
        <color indexed="12"/>
      </left>
      <right style="medium">
        <color indexed="12"/>
      </right>
      <top style="medium">
        <color indexed="63"/>
      </top>
      <bottom>
        <color indexed="63"/>
      </bottom>
    </border>
    <border>
      <left style="medium">
        <color indexed="12"/>
      </left>
      <right style="medium">
        <color indexed="63"/>
      </right>
      <top style="medium">
        <color indexed="63"/>
      </top>
      <bottom>
        <color indexed="63"/>
      </bottom>
    </border>
    <border>
      <left style="medium">
        <color indexed="63"/>
      </left>
      <right style="medium">
        <color indexed="12"/>
      </right>
      <top>
        <color indexed="63"/>
      </top>
      <bottom style="medium">
        <color indexed="63"/>
      </bottom>
    </border>
    <border>
      <left style="medium">
        <color indexed="12"/>
      </left>
      <right style="medium">
        <color indexed="12"/>
      </right>
      <top>
        <color indexed="63"/>
      </top>
      <bottom style="medium">
        <color indexed="63"/>
      </bottom>
    </border>
    <border>
      <left style="medium">
        <color indexed="12"/>
      </left>
      <right style="medium">
        <color indexed="63"/>
      </right>
      <top>
        <color indexed="63"/>
      </top>
      <bottom style="medium">
        <color indexed="6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thin"/>
      <bottom style="hair"/>
    </border>
    <border>
      <left style="hair"/>
      <right style="thin"/>
      <top style="hair"/>
      <bottom style="thin"/>
    </border>
    <border>
      <left>
        <color indexed="63"/>
      </left>
      <right style="hair"/>
      <top style="thin"/>
      <bottom style="thin"/>
    </border>
    <border>
      <left>
        <color indexed="63"/>
      </left>
      <right style="hair"/>
      <top style="thin"/>
      <bottom>
        <color indexed="63"/>
      </bottom>
    </border>
    <border>
      <left style="thin"/>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style="hair"/>
      <right>
        <color indexed="63"/>
      </right>
      <top style="hair"/>
      <bottom style="thin"/>
    </border>
    <border>
      <left style="hair"/>
      <right>
        <color indexed="63"/>
      </right>
      <top style="thin"/>
      <bottom style="thin"/>
    </border>
    <border>
      <left style="medium"/>
      <right>
        <color indexed="63"/>
      </right>
      <top>
        <color indexed="63"/>
      </top>
      <bottom style="hair"/>
    </border>
    <border>
      <left>
        <color indexed="63"/>
      </left>
      <right style="medium"/>
      <top>
        <color indexed="63"/>
      </top>
      <bottom style="hair"/>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color indexed="63"/>
      </top>
      <bottom style="dotted"/>
    </border>
    <border>
      <left>
        <color indexed="63"/>
      </left>
      <right style="thin"/>
      <top>
        <color indexed="63"/>
      </top>
      <bottom style="dotted"/>
    </border>
    <border>
      <left style="hair"/>
      <right style="hair"/>
      <top style="thin"/>
      <bottom style="hair"/>
    </border>
    <border>
      <left style="hair"/>
      <right style="thin"/>
      <top style="thin"/>
      <bottom style="hair"/>
    </border>
    <border>
      <left>
        <color indexed="63"/>
      </left>
      <right style="hair"/>
      <top style="thin"/>
      <bottom style="hair"/>
    </border>
    <border>
      <left style="hair"/>
      <right>
        <color indexed="63"/>
      </right>
      <top style="thin"/>
      <bottom>
        <color indexed="63"/>
      </bottom>
    </border>
    <border>
      <left style="hair"/>
      <right>
        <color indexed="63"/>
      </right>
      <top>
        <color indexed="63"/>
      </top>
      <bottom>
        <color indexed="63"/>
      </bottom>
    </border>
    <border>
      <left style="hair"/>
      <right style="hair"/>
      <top style="thin"/>
      <bottom>
        <color indexed="63"/>
      </bottom>
    </border>
    <border>
      <left>
        <color indexed="63"/>
      </left>
      <right style="hair"/>
      <top>
        <color indexed="63"/>
      </top>
      <bottom>
        <color indexed="63"/>
      </bottom>
    </border>
    <border>
      <left style="hair"/>
      <right style="hair"/>
      <top>
        <color indexed="63"/>
      </top>
      <bottom>
        <color indexed="63"/>
      </bottom>
    </border>
    <border>
      <left>
        <color indexed="63"/>
      </left>
      <right style="medium"/>
      <top style="hair"/>
      <bottom>
        <color indexed="63"/>
      </bottom>
    </border>
    <border>
      <left style="thin"/>
      <right>
        <color indexed="63"/>
      </right>
      <top>
        <color indexed="63"/>
      </top>
      <bottom style="dotted"/>
    </border>
    <border>
      <left style="hair"/>
      <right>
        <color indexed="63"/>
      </right>
      <top>
        <color indexed="63"/>
      </top>
      <bottom style="thin"/>
    </border>
    <border>
      <left>
        <color indexed="63"/>
      </left>
      <right style="hair"/>
      <top>
        <color indexed="63"/>
      </top>
      <bottom style="thin"/>
    </border>
    <border>
      <left style="medium"/>
      <right>
        <color indexed="63"/>
      </right>
      <top style="hair"/>
      <bottom>
        <color indexed="63"/>
      </bottom>
    </border>
    <border>
      <left>
        <color indexed="63"/>
      </left>
      <right style="thin"/>
      <top style="hair"/>
      <bottom style="hair"/>
    </border>
  </borders>
  <cellStyleXfs count="66">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1" fillId="2" borderId="0" applyNumberFormat="0" applyBorder="0" applyAlignment="0" applyProtection="0"/>
    <xf numFmtId="0" fontId="151" fillId="3" borderId="0" applyNumberFormat="0" applyBorder="0" applyAlignment="0" applyProtection="0"/>
    <xf numFmtId="0" fontId="151" fillId="4" borderId="0" applyNumberFormat="0" applyBorder="0" applyAlignment="0" applyProtection="0"/>
    <xf numFmtId="0" fontId="151" fillId="5" borderId="0" applyNumberFormat="0" applyBorder="0" applyAlignment="0" applyProtection="0"/>
    <xf numFmtId="0" fontId="151" fillId="6" borderId="0" applyNumberFormat="0" applyBorder="0" applyAlignment="0" applyProtection="0"/>
    <xf numFmtId="0" fontId="151" fillId="7" borderId="0" applyNumberFormat="0" applyBorder="0" applyAlignment="0" applyProtection="0"/>
    <xf numFmtId="0" fontId="151" fillId="8" borderId="0" applyNumberFormat="0" applyBorder="0" applyAlignment="0" applyProtection="0"/>
    <xf numFmtId="0" fontId="151" fillId="9" borderId="0" applyNumberFormat="0" applyBorder="0" applyAlignment="0" applyProtection="0"/>
    <xf numFmtId="0" fontId="151" fillId="10" borderId="0" applyNumberFormat="0" applyBorder="0" applyAlignment="0" applyProtection="0"/>
    <xf numFmtId="0" fontId="151" fillId="11" borderId="0" applyNumberFormat="0" applyBorder="0" applyAlignment="0" applyProtection="0"/>
    <xf numFmtId="0" fontId="151" fillId="12" borderId="0" applyNumberFormat="0" applyBorder="0" applyAlignment="0" applyProtection="0"/>
    <xf numFmtId="0" fontId="151" fillId="13" borderId="0" applyNumberFormat="0" applyBorder="0" applyAlignment="0" applyProtection="0"/>
    <xf numFmtId="0" fontId="152" fillId="14" borderId="0" applyNumberFormat="0" applyBorder="0" applyAlignment="0" applyProtection="0"/>
    <xf numFmtId="0" fontId="152" fillId="15" borderId="0" applyNumberFormat="0" applyBorder="0" applyAlignment="0" applyProtection="0"/>
    <xf numFmtId="0" fontId="152" fillId="16" borderId="0" applyNumberFormat="0" applyBorder="0" applyAlignment="0" applyProtection="0"/>
    <xf numFmtId="0" fontId="152" fillId="17" borderId="0" applyNumberFormat="0" applyBorder="0" applyAlignment="0" applyProtection="0"/>
    <xf numFmtId="0" fontId="152" fillId="18" borderId="0" applyNumberFormat="0" applyBorder="0" applyAlignment="0" applyProtection="0"/>
    <xf numFmtId="0" fontId="152" fillId="19" borderId="0" applyNumberFormat="0" applyBorder="0" applyAlignment="0" applyProtection="0"/>
    <xf numFmtId="0" fontId="152" fillId="20" borderId="0" applyNumberFormat="0" applyBorder="0" applyAlignment="0" applyProtection="0"/>
    <xf numFmtId="0" fontId="152" fillId="21" borderId="0" applyNumberFormat="0" applyBorder="0" applyAlignment="0" applyProtection="0"/>
    <xf numFmtId="0" fontId="152" fillId="22" borderId="0" applyNumberFormat="0" applyBorder="0" applyAlignment="0" applyProtection="0"/>
    <xf numFmtId="0" fontId="152" fillId="23" borderId="0" applyNumberFormat="0" applyBorder="0" applyAlignment="0" applyProtection="0"/>
    <xf numFmtId="0" fontId="152" fillId="24" borderId="0" applyNumberFormat="0" applyBorder="0" applyAlignment="0" applyProtection="0"/>
    <xf numFmtId="0" fontId="152" fillId="25" borderId="0" applyNumberFormat="0" applyBorder="0" applyAlignment="0" applyProtection="0"/>
    <xf numFmtId="0" fontId="153" fillId="0" borderId="0" applyNumberFormat="0" applyFill="0" applyBorder="0" applyAlignment="0" applyProtection="0"/>
    <xf numFmtId="0" fontId="154" fillId="26" borderId="1" applyNumberFormat="0" applyAlignment="0" applyProtection="0"/>
    <xf numFmtId="0" fontId="15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156" fillId="0" borderId="3" applyNumberFormat="0" applyFill="0" applyAlignment="0" applyProtection="0"/>
    <xf numFmtId="0" fontId="157" fillId="29" borderId="0" applyNumberFormat="0" applyBorder="0" applyAlignment="0" applyProtection="0"/>
    <xf numFmtId="0" fontId="158" fillId="30" borderId="4" applyNumberFormat="0" applyAlignment="0" applyProtection="0"/>
    <xf numFmtId="0" fontId="1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0" fillId="0" borderId="5" applyNumberFormat="0" applyFill="0" applyAlignment="0" applyProtection="0"/>
    <xf numFmtId="0" fontId="161" fillId="0" borderId="6" applyNumberFormat="0" applyFill="0" applyAlignment="0" applyProtection="0"/>
    <xf numFmtId="0" fontId="162" fillId="0" borderId="7" applyNumberFormat="0" applyFill="0" applyAlignment="0" applyProtection="0"/>
    <xf numFmtId="0" fontId="162" fillId="0" borderId="0" applyNumberFormat="0" applyFill="0" applyBorder="0" applyAlignment="0" applyProtection="0"/>
    <xf numFmtId="0" fontId="163" fillId="0" borderId="8" applyNumberFormat="0" applyFill="0" applyAlignment="0" applyProtection="0"/>
    <xf numFmtId="0" fontId="164" fillId="30" borderId="9" applyNumberFormat="0" applyAlignment="0" applyProtection="0"/>
    <xf numFmtId="0" fontId="1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6" fillId="31" borderId="4" applyNumberFormat="0" applyAlignment="0" applyProtection="0"/>
    <xf numFmtId="0" fontId="0" fillId="0" borderId="0">
      <alignment/>
      <protection/>
    </xf>
    <xf numFmtId="0" fontId="0" fillId="0" borderId="0" applyProtection="0">
      <alignment/>
    </xf>
    <xf numFmtId="0" fontId="2" fillId="0" borderId="0">
      <alignment/>
      <protection/>
    </xf>
    <xf numFmtId="0" fontId="3" fillId="0" borderId="0" applyNumberFormat="0" applyFill="0" applyBorder="0" applyAlignment="0" applyProtection="0"/>
    <xf numFmtId="0" fontId="167" fillId="32" borderId="0" applyNumberFormat="0" applyBorder="0" applyAlignment="0" applyProtection="0"/>
  </cellStyleXfs>
  <cellXfs count="1897">
    <xf numFmtId="0" fontId="0" fillId="0" borderId="0" xfId="0" applyAlignment="1">
      <alignment/>
    </xf>
    <xf numFmtId="0" fontId="2" fillId="0" borderId="0" xfId="0" applyFont="1" applyBorder="1" applyAlignment="1" applyProtection="1">
      <alignment horizontal="left" vertical="center"/>
      <protection/>
    </xf>
    <xf numFmtId="0" fontId="4" fillId="0" borderId="0" xfId="0" applyFont="1" applyBorder="1" applyAlignment="1" applyProtection="1">
      <alignment horizontal="center" vertical="center"/>
      <protection/>
    </xf>
    <xf numFmtId="0" fontId="2" fillId="0" borderId="0" xfId="0" applyFont="1" applyAlignment="1" applyProtection="1">
      <alignment horizontal="left" vertical="center"/>
      <protection/>
    </xf>
    <xf numFmtId="0" fontId="2" fillId="0" borderId="10" xfId="0" applyFont="1" applyBorder="1" applyAlignment="1" applyProtection="1">
      <alignment horizontal="left" vertical="center"/>
      <protection/>
    </xf>
    <xf numFmtId="0" fontId="2" fillId="0" borderId="11" xfId="0" applyFont="1" applyBorder="1" applyAlignment="1" applyProtection="1">
      <alignment horizontal="left" vertical="center"/>
      <protection/>
    </xf>
    <xf numFmtId="0" fontId="4" fillId="0" borderId="11" xfId="0" applyFont="1" applyBorder="1" applyAlignment="1" applyProtection="1">
      <alignment horizontal="left" vertical="center"/>
      <protection/>
    </xf>
    <xf numFmtId="0" fontId="2" fillId="0" borderId="12" xfId="0" applyFont="1" applyBorder="1" applyAlignment="1" applyProtection="1">
      <alignment horizontal="left" vertical="center"/>
      <protection/>
    </xf>
    <xf numFmtId="0" fontId="4" fillId="0" borderId="0" xfId="0" applyFont="1" applyBorder="1" applyAlignment="1" applyProtection="1">
      <alignment horizontal="left" vertical="center"/>
      <protection/>
    </xf>
    <xf numFmtId="0" fontId="4" fillId="0" borderId="13" xfId="0" applyFont="1" applyBorder="1" applyAlignment="1" applyProtection="1">
      <alignment horizontal="left" vertical="center"/>
      <protection/>
    </xf>
    <xf numFmtId="0" fontId="2" fillId="0" borderId="0"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9" fillId="0" borderId="0" xfId="0" applyFont="1" applyFill="1" applyBorder="1" applyAlignment="1" applyProtection="1">
      <alignment horizontal="center" vertical="center"/>
      <protection/>
    </xf>
    <xf numFmtId="0" fontId="4" fillId="33" borderId="14" xfId="0" applyFont="1" applyFill="1" applyBorder="1" applyAlignment="1" applyProtection="1">
      <alignment horizontal="center" vertical="center"/>
      <protection/>
    </xf>
    <xf numFmtId="0" fontId="2" fillId="0" borderId="15" xfId="0" applyFont="1" applyBorder="1" applyAlignment="1" applyProtection="1">
      <alignment horizontal="left" vertical="center"/>
      <protection/>
    </xf>
    <xf numFmtId="0" fontId="2" fillId="0" borderId="16" xfId="0" applyFont="1" applyBorder="1" applyAlignment="1" applyProtection="1">
      <alignment horizontal="left" vertical="center"/>
      <protection/>
    </xf>
    <xf numFmtId="0" fontId="4" fillId="0" borderId="16" xfId="0" applyFont="1" applyBorder="1" applyAlignment="1" applyProtection="1">
      <alignment horizontal="left" vertical="center"/>
      <protection/>
    </xf>
    <xf numFmtId="0" fontId="4" fillId="0" borderId="17" xfId="0" applyFont="1" applyBorder="1" applyAlignment="1" applyProtection="1">
      <alignment horizontal="left" vertical="center"/>
      <protection/>
    </xf>
    <xf numFmtId="0" fontId="2" fillId="0" borderId="18" xfId="0" applyFont="1" applyBorder="1" applyAlignment="1" applyProtection="1">
      <alignment horizontal="left" vertical="center"/>
      <protection/>
    </xf>
    <xf numFmtId="0" fontId="2" fillId="0" borderId="0" xfId="0" applyFont="1" applyFill="1" applyBorder="1" applyAlignment="1" applyProtection="1">
      <alignment horizontal="center" vertical="center"/>
      <protection/>
    </xf>
    <xf numFmtId="0" fontId="2" fillId="0" borderId="19" xfId="0" applyFont="1" applyBorder="1" applyAlignment="1" applyProtection="1">
      <alignment horizontal="left" vertical="center"/>
      <protection/>
    </xf>
    <xf numFmtId="0" fontId="4" fillId="0" borderId="20" xfId="0" applyFont="1" applyBorder="1" applyAlignment="1" applyProtection="1">
      <alignment horizontal="left" vertical="center"/>
      <protection/>
    </xf>
    <xf numFmtId="0" fontId="4" fillId="0" borderId="21" xfId="0" applyFont="1" applyBorder="1" applyAlignment="1" applyProtection="1">
      <alignment horizontal="left" vertical="center"/>
      <protection/>
    </xf>
    <xf numFmtId="0" fontId="2" fillId="0" borderId="0" xfId="0" applyFont="1" applyFill="1" applyBorder="1" applyAlignment="1" applyProtection="1">
      <alignment horizontal="center" vertical="center" shrinkToFit="1"/>
      <protection/>
    </xf>
    <xf numFmtId="0" fontId="5" fillId="0" borderId="0" xfId="0" applyFont="1" applyFill="1" applyBorder="1" applyAlignment="1" applyProtection="1">
      <alignment horizontal="center" vertical="center"/>
      <protection/>
    </xf>
    <xf numFmtId="0" fontId="11" fillId="0" borderId="0" xfId="0" applyFont="1" applyBorder="1" applyAlignment="1" applyProtection="1">
      <alignment horizontal="left" vertical="center"/>
      <protection/>
    </xf>
    <xf numFmtId="0" fontId="4" fillId="34" borderId="21" xfId="0" applyFont="1" applyFill="1" applyBorder="1" applyAlignment="1" applyProtection="1">
      <alignment horizontal="center" vertical="center"/>
      <protection/>
    </xf>
    <xf numFmtId="0" fontId="2" fillId="34" borderId="21" xfId="0" applyFont="1" applyFill="1" applyBorder="1" applyAlignment="1" applyProtection="1">
      <alignment horizontal="left" vertical="center"/>
      <protection/>
    </xf>
    <xf numFmtId="0" fontId="4" fillId="0" borderId="0" xfId="0" applyFont="1" applyFill="1" applyBorder="1" applyAlignment="1" applyProtection="1">
      <alignment horizontal="left" vertical="center"/>
      <protection/>
    </xf>
    <xf numFmtId="0" fontId="4" fillId="0" borderId="0" xfId="0" applyFont="1" applyAlignment="1">
      <alignment horizontal="center" vertical="center"/>
    </xf>
    <xf numFmtId="0" fontId="20" fillId="0" borderId="0" xfId="0" applyFont="1" applyAlignment="1">
      <alignment horizontal="left" vertical="center"/>
    </xf>
    <xf numFmtId="0" fontId="4" fillId="35" borderId="21" xfId="0" applyFont="1" applyFill="1" applyBorder="1" applyAlignment="1">
      <alignment horizontal="center" vertical="center"/>
    </xf>
    <xf numFmtId="0" fontId="4" fillId="36" borderId="21" xfId="0" applyFont="1" applyFill="1" applyBorder="1" applyAlignment="1">
      <alignment horizontal="center" vertical="center"/>
    </xf>
    <xf numFmtId="0" fontId="4" fillId="37" borderId="21" xfId="0" applyFont="1" applyFill="1" applyBorder="1" applyAlignment="1">
      <alignment horizontal="center" vertical="center"/>
    </xf>
    <xf numFmtId="0" fontId="4" fillId="38" borderId="21" xfId="0" applyFont="1" applyFill="1" applyBorder="1" applyAlignment="1">
      <alignment horizontal="center" vertical="center"/>
    </xf>
    <xf numFmtId="0" fontId="4" fillId="39" borderId="21" xfId="0" applyFont="1" applyFill="1" applyBorder="1" applyAlignment="1">
      <alignment horizontal="center" vertical="center"/>
    </xf>
    <xf numFmtId="0" fontId="4" fillId="40" borderId="21" xfId="0" applyFont="1" applyFill="1" applyBorder="1" applyAlignment="1">
      <alignment horizontal="center" vertical="center"/>
    </xf>
    <xf numFmtId="0" fontId="4" fillId="0" borderId="0" xfId="0" applyFont="1" applyFill="1" applyAlignment="1">
      <alignment horizontal="center" vertical="center"/>
    </xf>
    <xf numFmtId="0" fontId="4" fillId="41" borderId="21" xfId="0" applyFont="1" applyFill="1" applyBorder="1" applyAlignment="1">
      <alignment horizontal="center" vertical="center"/>
    </xf>
    <xf numFmtId="0" fontId="8" fillId="41" borderId="22" xfId="0" applyFont="1" applyFill="1" applyBorder="1" applyAlignment="1">
      <alignment horizontal="center" vertical="center"/>
    </xf>
    <xf numFmtId="0" fontId="6" fillId="0" borderId="0" xfId="0" applyFont="1" applyAlignment="1" quotePrefix="1">
      <alignment horizontal="center" vertical="center"/>
    </xf>
    <xf numFmtId="56" fontId="6" fillId="0" borderId="0" xfId="0" applyNumberFormat="1" applyFont="1" applyAlignment="1" quotePrefix="1">
      <alignment horizontal="center" vertical="center"/>
    </xf>
    <xf numFmtId="0" fontId="6" fillId="0" borderId="0" xfId="0" applyFont="1" applyAlignment="1">
      <alignment horizontal="center" vertical="center"/>
    </xf>
    <xf numFmtId="0" fontId="8" fillId="42" borderId="22" xfId="0" applyFont="1" applyFill="1" applyBorder="1" applyAlignment="1">
      <alignment horizontal="center" vertical="center"/>
    </xf>
    <xf numFmtId="0" fontId="6" fillId="0" borderId="0" xfId="0" applyFont="1" applyAlignment="1">
      <alignment horizontal="center" vertical="center" shrinkToFit="1"/>
    </xf>
    <xf numFmtId="0" fontId="4" fillId="43" borderId="21" xfId="0" applyFont="1" applyFill="1" applyBorder="1" applyAlignment="1">
      <alignment horizontal="center" vertical="center"/>
    </xf>
    <xf numFmtId="0" fontId="4" fillId="0" borderId="13" xfId="0" applyFont="1" applyBorder="1" applyAlignment="1">
      <alignment horizontal="center" vertical="center"/>
    </xf>
    <xf numFmtId="0" fontId="4" fillId="0" borderId="17" xfId="0" applyFont="1" applyBorder="1" applyAlignment="1">
      <alignment horizontal="center" vertical="center"/>
    </xf>
    <xf numFmtId="0" fontId="4" fillId="41" borderId="21" xfId="0" applyFont="1" applyFill="1" applyBorder="1" applyAlignment="1" applyProtection="1">
      <alignment horizontal="center" vertical="center"/>
      <protection locked="0"/>
    </xf>
    <xf numFmtId="0" fontId="24" fillId="0" borderId="0" xfId="0" applyFont="1" applyAlignment="1">
      <alignment/>
    </xf>
    <xf numFmtId="0" fontId="26" fillId="0" borderId="0" xfId="0" applyFont="1" applyAlignment="1">
      <alignment wrapText="1"/>
    </xf>
    <xf numFmtId="0" fontId="27" fillId="44" borderId="23" xfId="0" applyFont="1" applyFill="1" applyBorder="1" applyAlignment="1">
      <alignment horizontal="center"/>
    </xf>
    <xf numFmtId="0" fontId="25" fillId="0" borderId="0" xfId="0" applyFont="1" applyBorder="1" applyAlignment="1">
      <alignment vertical="center" wrapText="1"/>
    </xf>
    <xf numFmtId="0" fontId="28" fillId="0" borderId="24" xfId="0" applyFont="1" applyBorder="1" applyAlignment="1">
      <alignment wrapText="1"/>
    </xf>
    <xf numFmtId="0" fontId="29" fillId="0" borderId="24" xfId="0" applyFont="1" applyBorder="1" applyAlignment="1">
      <alignment wrapText="1"/>
    </xf>
    <xf numFmtId="0" fontId="29" fillId="0" borderId="24" xfId="0" applyFont="1"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30" fillId="0" borderId="24" xfId="0" applyFont="1" applyBorder="1" applyAlignment="1">
      <alignment/>
    </xf>
    <xf numFmtId="0" fontId="31" fillId="0" borderId="24" xfId="43" applyFont="1" applyBorder="1" applyAlignment="1" applyProtection="1">
      <alignment/>
      <protection/>
    </xf>
    <xf numFmtId="0" fontId="32" fillId="0" borderId="0" xfId="0" applyFont="1" applyBorder="1" applyAlignment="1">
      <alignment/>
    </xf>
    <xf numFmtId="0" fontId="0" fillId="0" borderId="0" xfId="0" applyBorder="1" applyAlignment="1">
      <alignment/>
    </xf>
    <xf numFmtId="0" fontId="31" fillId="0" borderId="28" xfId="43" applyFont="1" applyBorder="1" applyAlignment="1" applyProtection="1">
      <alignment/>
      <protection/>
    </xf>
    <xf numFmtId="0" fontId="33" fillId="0" borderId="0" xfId="0" applyFont="1" applyBorder="1" applyAlignment="1">
      <alignment horizontal="left" vertical="top" wrapText="1"/>
    </xf>
    <xf numFmtId="0" fontId="8" fillId="41" borderId="29" xfId="0" applyFont="1" applyFill="1" applyBorder="1" applyAlignment="1">
      <alignment horizontal="center" vertical="center"/>
    </xf>
    <xf numFmtId="0" fontId="4" fillId="43" borderId="21" xfId="0" applyFont="1" applyFill="1" applyBorder="1" applyAlignment="1" applyProtection="1">
      <alignment horizontal="center" vertical="center"/>
      <protection locked="0"/>
    </xf>
    <xf numFmtId="0" fontId="6" fillId="45" borderId="21" xfId="0" applyFont="1" applyFill="1" applyBorder="1" applyAlignment="1">
      <alignment horizontal="center" vertical="center" shrinkToFit="1"/>
    </xf>
    <xf numFmtId="0" fontId="6" fillId="33" borderId="21" xfId="0" applyFont="1" applyFill="1" applyBorder="1" applyAlignment="1">
      <alignment horizontal="center" vertical="center" shrinkToFit="1"/>
    </xf>
    <xf numFmtId="0" fontId="4" fillId="41" borderId="14" xfId="0" applyFont="1" applyFill="1" applyBorder="1" applyAlignment="1">
      <alignment horizontal="center" vertical="center"/>
    </xf>
    <xf numFmtId="0" fontId="4" fillId="41" borderId="29" xfId="0" applyFont="1" applyFill="1" applyBorder="1" applyAlignment="1">
      <alignment horizontal="center" vertical="center"/>
    </xf>
    <xf numFmtId="0" fontId="4" fillId="46" borderId="29" xfId="0" applyFont="1" applyFill="1" applyBorder="1" applyAlignment="1">
      <alignment horizontal="center" vertical="center"/>
    </xf>
    <xf numFmtId="0" fontId="4" fillId="40" borderId="30" xfId="0" applyFont="1" applyFill="1" applyBorder="1" applyAlignment="1">
      <alignment horizontal="center" vertical="center"/>
    </xf>
    <xf numFmtId="0" fontId="4" fillId="36" borderId="30" xfId="0" applyFont="1" applyFill="1" applyBorder="1" applyAlignment="1">
      <alignment horizontal="center" vertical="center"/>
    </xf>
    <xf numFmtId="0" fontId="4" fillId="38" borderId="30" xfId="0" applyFont="1" applyFill="1" applyBorder="1" applyAlignment="1">
      <alignment horizontal="center" vertical="center"/>
    </xf>
    <xf numFmtId="0" fontId="4" fillId="39" borderId="30" xfId="0" applyFont="1" applyFill="1" applyBorder="1" applyAlignment="1">
      <alignment horizontal="center" vertical="center"/>
    </xf>
    <xf numFmtId="0" fontId="4" fillId="35" borderId="30" xfId="0" applyFont="1" applyFill="1" applyBorder="1" applyAlignment="1">
      <alignment horizontal="center" vertical="center"/>
    </xf>
    <xf numFmtId="0" fontId="4" fillId="0" borderId="14" xfId="0" applyFont="1" applyBorder="1" applyAlignment="1">
      <alignment horizontal="center" vertical="center"/>
    </xf>
    <xf numFmtId="0" fontId="20" fillId="0" borderId="18" xfId="0" applyFont="1" applyBorder="1" applyAlignment="1">
      <alignment horizontal="left" vertical="center"/>
    </xf>
    <xf numFmtId="0" fontId="4" fillId="0" borderId="31" xfId="0" applyFont="1" applyBorder="1" applyAlignment="1">
      <alignment horizontal="center" vertical="center"/>
    </xf>
    <xf numFmtId="0" fontId="4" fillId="0" borderId="14" xfId="0" applyFont="1" applyBorder="1" applyAlignment="1" applyProtection="1">
      <alignment horizontal="center" vertical="center"/>
      <protection locked="0"/>
    </xf>
    <xf numFmtId="0" fontId="20" fillId="0" borderId="18" xfId="0" applyFont="1" applyBorder="1" applyAlignment="1" applyProtection="1">
      <alignment horizontal="left" vertical="center"/>
      <protection locked="0"/>
    </xf>
    <xf numFmtId="0" fontId="4" fillId="0" borderId="31" xfId="0" applyFont="1" applyBorder="1" applyAlignment="1" applyProtection="1">
      <alignment horizontal="center" vertical="center"/>
      <protection locked="0"/>
    </xf>
    <xf numFmtId="0" fontId="4" fillId="0" borderId="19" xfId="0" applyFont="1" applyBorder="1" applyAlignment="1">
      <alignment horizontal="center" vertical="center"/>
    </xf>
    <xf numFmtId="0" fontId="4" fillId="0" borderId="0" xfId="0" applyFont="1" applyBorder="1" applyAlignment="1" applyProtection="1">
      <alignment vertical="center"/>
      <protection locked="0"/>
    </xf>
    <xf numFmtId="38" fontId="4" fillId="0" borderId="0" xfId="49" applyFont="1" applyBorder="1" applyAlignment="1" applyProtection="1">
      <alignment horizontal="center" vertical="center"/>
      <protection locked="0"/>
    </xf>
    <xf numFmtId="176" fontId="4" fillId="0" borderId="0" xfId="49" applyNumberFormat="1" applyFont="1" applyBorder="1" applyAlignment="1" applyProtection="1">
      <alignment horizontal="center" vertical="center"/>
      <protection locked="0"/>
    </xf>
    <xf numFmtId="38" fontId="4" fillId="0" borderId="0" xfId="49" applyNumberFormat="1"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176" fontId="4" fillId="41" borderId="21" xfId="49" applyNumberFormat="1" applyFont="1" applyFill="1" applyBorder="1" applyAlignment="1" applyProtection="1">
      <alignment horizontal="center" vertical="center" shrinkToFit="1"/>
      <protection locked="0"/>
    </xf>
    <xf numFmtId="176" fontId="4" fillId="41" borderId="21" xfId="49" applyNumberFormat="1" applyFont="1" applyFill="1" applyBorder="1" applyAlignment="1" applyProtection="1">
      <alignment horizontal="center" vertical="center" shrinkToFit="1"/>
      <protection/>
    </xf>
    <xf numFmtId="224" fontId="4" fillId="41" borderId="21" xfId="0" applyNumberFormat="1" applyFont="1" applyFill="1" applyBorder="1" applyAlignment="1" applyProtection="1">
      <alignment horizontal="center" vertical="center" shrinkToFit="1"/>
      <protection locked="0"/>
    </xf>
    <xf numFmtId="176" fontId="4" fillId="41" borderId="20" xfId="49" applyNumberFormat="1" applyFont="1" applyFill="1" applyBorder="1" applyAlignment="1" applyProtection="1">
      <alignment horizontal="center" vertical="center" shrinkToFit="1"/>
      <protection/>
    </xf>
    <xf numFmtId="224" fontId="4" fillId="41" borderId="20" xfId="0" applyNumberFormat="1" applyFont="1" applyFill="1" applyBorder="1" applyAlignment="1" applyProtection="1">
      <alignment horizontal="center" vertical="center" shrinkToFit="1"/>
      <protection locked="0"/>
    </xf>
    <xf numFmtId="176" fontId="8" fillId="42" borderId="17" xfId="49" applyNumberFormat="1" applyFont="1" applyFill="1" applyBorder="1" applyAlignment="1" applyProtection="1">
      <alignment horizontal="center" vertical="center" shrinkToFit="1"/>
      <protection/>
    </xf>
    <xf numFmtId="0" fontId="4" fillId="0" borderId="21" xfId="0" applyFont="1" applyBorder="1" applyAlignment="1" applyProtection="1">
      <alignment horizontal="center" vertical="center" shrinkToFit="1"/>
      <protection locked="0"/>
    </xf>
    <xf numFmtId="0" fontId="4" fillId="0" borderId="0" xfId="0" applyFont="1" applyBorder="1" applyAlignment="1" applyProtection="1">
      <alignment horizontal="left" vertical="center" wrapText="1"/>
      <protection locked="0"/>
    </xf>
    <xf numFmtId="0" fontId="4" fillId="0" borderId="0" xfId="0" applyFont="1" applyBorder="1" applyAlignment="1" applyProtection="1">
      <alignment horizontal="center" vertical="center" shrinkToFit="1"/>
      <protection locked="0"/>
    </xf>
    <xf numFmtId="176" fontId="8" fillId="0" borderId="0" xfId="49" applyNumberFormat="1" applyFont="1" applyFill="1" applyBorder="1" applyAlignment="1" applyProtection="1">
      <alignment horizontal="center" vertical="center" shrinkToFit="1"/>
      <protection/>
    </xf>
    <xf numFmtId="38" fontId="6" fillId="0" borderId="0" xfId="49" applyFont="1" applyFill="1" applyBorder="1" applyAlignment="1" applyProtection="1">
      <alignment horizontal="center" vertical="center" wrapText="1" shrinkToFit="1"/>
      <protection locked="0"/>
    </xf>
    <xf numFmtId="38" fontId="4" fillId="0" borderId="0" xfId="49" applyNumberFormat="1" applyFont="1" applyFill="1" applyBorder="1" applyAlignment="1" applyProtection="1">
      <alignment horizontal="center" vertical="center" shrinkToFit="1"/>
      <protection locked="0"/>
    </xf>
    <xf numFmtId="38" fontId="4" fillId="0" borderId="0" xfId="49" applyNumberFormat="1" applyFont="1" applyFill="1" applyBorder="1" applyAlignment="1" applyProtection="1">
      <alignment horizontal="center" vertical="center" shrinkToFit="1"/>
      <protection/>
    </xf>
    <xf numFmtId="0" fontId="4" fillId="0" borderId="0" xfId="0" applyFont="1" applyFill="1" applyBorder="1" applyAlignment="1" applyProtection="1">
      <alignment horizontal="center" vertical="center" shrinkToFit="1"/>
      <protection locked="0"/>
    </xf>
    <xf numFmtId="38" fontId="4" fillId="0" borderId="0" xfId="49" applyFont="1" applyBorder="1" applyAlignment="1" applyProtection="1">
      <alignment horizontal="center" vertical="center"/>
      <protection/>
    </xf>
    <xf numFmtId="176" fontId="4" fillId="0" borderId="0" xfId="49" applyNumberFormat="1" applyFont="1" applyBorder="1" applyAlignment="1" applyProtection="1">
      <alignment horizontal="center" vertical="center" shrinkToFit="1"/>
      <protection/>
    </xf>
    <xf numFmtId="176" fontId="4" fillId="0" borderId="0" xfId="49" applyNumberFormat="1" applyFont="1" applyFill="1" applyBorder="1" applyAlignment="1" applyProtection="1">
      <alignment horizontal="center" vertical="center"/>
      <protection/>
    </xf>
    <xf numFmtId="213" fontId="4" fillId="0" borderId="0" xfId="49" applyNumberFormat="1" applyFont="1" applyFill="1" applyBorder="1" applyAlignment="1" applyProtection="1">
      <alignment horizontal="center" vertical="center"/>
      <protection locked="0"/>
    </xf>
    <xf numFmtId="213" fontId="4" fillId="0" borderId="0" xfId="49" applyNumberFormat="1"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locked="0"/>
    </xf>
    <xf numFmtId="38" fontId="4" fillId="0" borderId="0" xfId="49" applyFont="1" applyFill="1" applyBorder="1" applyAlignment="1" applyProtection="1">
      <alignment horizontal="center" vertical="center"/>
      <protection locked="0"/>
    </xf>
    <xf numFmtId="176" fontId="4" fillId="0" borderId="0" xfId="49" applyNumberFormat="1" applyFont="1" applyFill="1" applyBorder="1" applyAlignment="1" applyProtection="1">
      <alignment horizontal="center" vertical="center"/>
      <protection locked="0"/>
    </xf>
    <xf numFmtId="212" fontId="4" fillId="0" borderId="0" xfId="49"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4" fillId="0" borderId="0" xfId="0" applyFont="1" applyBorder="1" applyAlignment="1" applyProtection="1">
      <alignment horizontal="left" vertical="center"/>
      <protection locked="0"/>
    </xf>
    <xf numFmtId="212" fontId="4" fillId="0" borderId="0" xfId="49" applyNumberFormat="1" applyFont="1" applyBorder="1" applyAlignment="1" applyProtection="1">
      <alignment horizontal="center" vertical="center"/>
      <protection locked="0"/>
    </xf>
    <xf numFmtId="213" fontId="4" fillId="0" borderId="0" xfId="49" applyNumberFormat="1" applyFont="1" applyBorder="1" applyAlignment="1" applyProtection="1">
      <alignment horizontal="center" vertical="center"/>
      <protection locked="0"/>
    </xf>
    <xf numFmtId="176" fontId="4" fillId="41" borderId="32" xfId="49" applyNumberFormat="1" applyFont="1" applyFill="1" applyBorder="1" applyAlignment="1" applyProtection="1">
      <alignment horizontal="center" vertical="center"/>
      <protection/>
    </xf>
    <xf numFmtId="213" fontId="4" fillId="41" borderId="32" xfId="49" applyNumberFormat="1" applyFont="1" applyFill="1" applyBorder="1" applyAlignment="1" applyProtection="1">
      <alignment horizontal="center" vertical="center"/>
      <protection/>
    </xf>
    <xf numFmtId="0" fontId="4" fillId="41" borderId="32" xfId="0" applyFont="1" applyFill="1" applyBorder="1" applyAlignment="1" applyProtection="1">
      <alignment horizontal="center" vertical="center"/>
      <protection locked="0"/>
    </xf>
    <xf numFmtId="38" fontId="4" fillId="43" borderId="32" xfId="49" applyFont="1" applyFill="1" applyBorder="1" applyAlignment="1" applyProtection="1">
      <alignment horizontal="center" vertical="center"/>
      <protection locked="0"/>
    </xf>
    <xf numFmtId="176" fontId="4" fillId="43" borderId="32" xfId="49" applyNumberFormat="1" applyFont="1" applyFill="1" applyBorder="1" applyAlignment="1" applyProtection="1">
      <alignment horizontal="center" vertical="center"/>
      <protection locked="0"/>
    </xf>
    <xf numFmtId="212" fontId="4" fillId="43" borderId="32" xfId="49" applyNumberFormat="1" applyFont="1" applyFill="1" applyBorder="1" applyAlignment="1" applyProtection="1">
      <alignment horizontal="center" vertical="center"/>
      <protection locked="0"/>
    </xf>
    <xf numFmtId="0" fontId="6" fillId="41" borderId="32" xfId="0" applyFont="1" applyFill="1" applyBorder="1" applyAlignment="1" applyProtection="1">
      <alignment horizontal="center" vertical="center" shrinkToFit="1"/>
      <protection locked="0"/>
    </xf>
    <xf numFmtId="0" fontId="4" fillId="43" borderId="32" xfId="0" applyFont="1" applyFill="1" applyBorder="1" applyAlignment="1" applyProtection="1">
      <alignment horizontal="center" vertical="center"/>
      <protection locked="0"/>
    </xf>
    <xf numFmtId="188" fontId="4" fillId="43" borderId="32" xfId="0" applyNumberFormat="1" applyFont="1" applyFill="1" applyBorder="1" applyAlignment="1" applyProtection="1">
      <alignment horizontal="center" vertical="center"/>
      <protection locked="0"/>
    </xf>
    <xf numFmtId="9" fontId="4" fillId="43" borderId="32" xfId="0" applyNumberFormat="1" applyFont="1" applyFill="1" applyBorder="1" applyAlignment="1" applyProtection="1">
      <alignment horizontal="center" vertical="center"/>
      <protection locked="0"/>
    </xf>
    <xf numFmtId="0" fontId="4" fillId="33" borderId="32" xfId="0" applyFont="1" applyFill="1" applyBorder="1" applyAlignment="1" applyProtection="1">
      <alignment horizontal="left" vertical="center"/>
      <protection locked="0"/>
    </xf>
    <xf numFmtId="38" fontId="4" fillId="41" borderId="32" xfId="49" applyFont="1" applyFill="1" applyBorder="1" applyAlignment="1" applyProtection="1">
      <alignment horizontal="center" vertical="center"/>
      <protection locked="0"/>
    </xf>
    <xf numFmtId="176" fontId="4" fillId="41" borderId="32" xfId="49" applyNumberFormat="1" applyFont="1" applyFill="1" applyBorder="1" applyAlignment="1" applyProtection="1">
      <alignment horizontal="center" vertical="center"/>
      <protection locked="0"/>
    </xf>
    <xf numFmtId="212" fontId="4" fillId="41" borderId="32" xfId="49" applyNumberFormat="1" applyFont="1" applyFill="1" applyBorder="1" applyAlignment="1" applyProtection="1">
      <alignment horizontal="center" vertical="center"/>
      <protection locked="0"/>
    </xf>
    <xf numFmtId="0" fontId="4" fillId="33" borderId="32" xfId="0" applyFont="1" applyFill="1" applyBorder="1" applyAlignment="1" applyProtection="1">
      <alignment horizontal="center" vertical="center"/>
      <protection locked="0"/>
    </xf>
    <xf numFmtId="0" fontId="4" fillId="33" borderId="33" xfId="0" applyFont="1" applyFill="1" applyBorder="1" applyAlignment="1" applyProtection="1">
      <alignment horizontal="left" vertical="center"/>
      <protection locked="0"/>
    </xf>
    <xf numFmtId="176" fontId="4" fillId="41" borderId="34" xfId="49" applyNumberFormat="1" applyFont="1" applyFill="1" applyBorder="1" applyAlignment="1" applyProtection="1">
      <alignment horizontal="center" vertical="center"/>
      <protection/>
    </xf>
    <xf numFmtId="212" fontId="4" fillId="43" borderId="34" xfId="49" applyNumberFormat="1" applyFont="1" applyFill="1" applyBorder="1" applyAlignment="1" applyProtection="1">
      <alignment horizontal="center" vertical="center"/>
      <protection locked="0"/>
    </xf>
    <xf numFmtId="213" fontId="4" fillId="41" borderId="34" xfId="49" applyNumberFormat="1" applyFont="1" applyFill="1" applyBorder="1" applyAlignment="1" applyProtection="1">
      <alignment horizontal="center" vertical="center"/>
      <protection/>
    </xf>
    <xf numFmtId="0" fontId="4" fillId="41" borderId="34" xfId="0" applyFont="1" applyFill="1" applyBorder="1" applyAlignment="1" applyProtection="1">
      <alignment horizontal="center" vertical="center"/>
      <protection locked="0"/>
    </xf>
    <xf numFmtId="38" fontId="4" fillId="43" borderId="21" xfId="49" applyFont="1" applyFill="1" applyBorder="1" applyAlignment="1" applyProtection="1">
      <alignment horizontal="center" vertical="center"/>
      <protection locked="0"/>
    </xf>
    <xf numFmtId="176" fontId="4" fillId="43" borderId="21" xfId="49" applyNumberFormat="1" applyFont="1" applyFill="1" applyBorder="1" applyAlignment="1" applyProtection="1">
      <alignment horizontal="center" vertical="center"/>
      <protection locked="0"/>
    </xf>
    <xf numFmtId="176" fontId="4" fillId="41" borderId="21" xfId="49" applyNumberFormat="1" applyFont="1" applyFill="1" applyBorder="1" applyAlignment="1" applyProtection="1">
      <alignment horizontal="center" vertical="center"/>
      <protection/>
    </xf>
    <xf numFmtId="212" fontId="4" fillId="43" borderId="21" xfId="49" applyNumberFormat="1" applyFont="1" applyFill="1" applyBorder="1" applyAlignment="1" applyProtection="1">
      <alignment horizontal="center" vertical="center"/>
      <protection locked="0"/>
    </xf>
    <xf numFmtId="213" fontId="4" fillId="41" borderId="21" xfId="49" applyNumberFormat="1" applyFont="1" applyFill="1" applyBorder="1" applyAlignment="1" applyProtection="1">
      <alignment horizontal="center" vertical="center"/>
      <protection/>
    </xf>
    <xf numFmtId="0" fontId="4" fillId="41" borderId="35" xfId="0" applyFont="1" applyFill="1" applyBorder="1" applyAlignment="1" applyProtection="1">
      <alignment horizontal="center" vertical="center"/>
      <protection locked="0"/>
    </xf>
    <xf numFmtId="176" fontId="6" fillId="0" borderId="0" xfId="49" applyNumberFormat="1" applyFont="1" applyBorder="1" applyAlignment="1" applyProtection="1">
      <alignment horizontal="center" vertical="center" shrinkToFit="1"/>
      <protection/>
    </xf>
    <xf numFmtId="38" fontId="4" fillId="0" borderId="0" xfId="49" applyNumberFormat="1" applyFont="1" applyBorder="1" applyAlignment="1" applyProtection="1">
      <alignment horizontal="center" vertical="center"/>
      <protection/>
    </xf>
    <xf numFmtId="0" fontId="4" fillId="0" borderId="0" xfId="0" applyFont="1" applyFill="1" applyBorder="1" applyAlignment="1" applyProtection="1">
      <alignment/>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vertical="center"/>
      <protection locked="0"/>
    </xf>
    <xf numFmtId="0" fontId="4" fillId="41" borderId="33" xfId="0" applyFont="1" applyFill="1" applyBorder="1" applyAlignment="1" applyProtection="1">
      <alignment horizontal="center" vertical="center"/>
      <protection locked="0"/>
    </xf>
    <xf numFmtId="0" fontId="4" fillId="47" borderId="36" xfId="0" applyFont="1" applyFill="1" applyBorder="1" applyAlignment="1" applyProtection="1">
      <alignment horizontal="left" vertical="center"/>
      <protection locked="0"/>
    </xf>
    <xf numFmtId="0" fontId="4" fillId="47" borderId="37" xfId="0" applyFont="1" applyFill="1" applyBorder="1" applyAlignment="1" applyProtection="1">
      <alignment horizontal="left" vertical="center"/>
      <protection locked="0"/>
    </xf>
    <xf numFmtId="0" fontId="6" fillId="47" borderId="37" xfId="0" applyFont="1" applyFill="1" applyBorder="1" applyAlignment="1" applyProtection="1">
      <alignment horizontal="left" vertical="center"/>
      <protection locked="0"/>
    </xf>
    <xf numFmtId="0" fontId="4" fillId="47" borderId="37" xfId="0" applyFont="1" applyFill="1" applyBorder="1" applyAlignment="1" applyProtection="1">
      <alignment horizontal="left" vertical="center" shrinkToFit="1"/>
      <protection locked="0"/>
    </xf>
    <xf numFmtId="0" fontId="4" fillId="47" borderId="38" xfId="0" applyFont="1" applyFill="1" applyBorder="1" applyAlignment="1" applyProtection="1">
      <alignment horizontal="left" vertical="center"/>
      <protection locked="0"/>
    </xf>
    <xf numFmtId="0" fontId="4" fillId="47" borderId="39" xfId="0" applyFont="1" applyFill="1" applyBorder="1" applyAlignment="1" applyProtection="1">
      <alignment horizontal="left" vertical="center"/>
      <protection locked="0"/>
    </xf>
    <xf numFmtId="0" fontId="4" fillId="47" borderId="40" xfId="0" applyFont="1" applyFill="1" applyBorder="1" applyAlignment="1" applyProtection="1">
      <alignment horizontal="left" vertical="center"/>
      <protection locked="0"/>
    </xf>
    <xf numFmtId="0" fontId="4" fillId="47" borderId="41" xfId="0" applyFont="1" applyFill="1" applyBorder="1" applyAlignment="1" applyProtection="1">
      <alignment horizontal="left" vertical="center"/>
      <protection locked="0"/>
    </xf>
    <xf numFmtId="0" fontId="4" fillId="47" borderId="42" xfId="0" applyFont="1" applyFill="1" applyBorder="1" applyAlignment="1" applyProtection="1">
      <alignment horizontal="left" vertical="center"/>
      <protection locked="0"/>
    </xf>
    <xf numFmtId="0" fontId="4" fillId="47" borderId="43" xfId="0" applyFont="1" applyFill="1" applyBorder="1" applyAlignment="1" applyProtection="1">
      <alignment horizontal="left" vertical="center"/>
      <protection locked="0"/>
    </xf>
    <xf numFmtId="0" fontId="5" fillId="0" borderId="44" xfId="0" applyFont="1" applyBorder="1" applyAlignment="1" applyProtection="1">
      <alignment vertical="center"/>
      <protection locked="0"/>
    </xf>
    <xf numFmtId="0" fontId="5" fillId="0" borderId="0" xfId="0" applyFont="1" applyBorder="1" applyAlignment="1" applyProtection="1">
      <alignment vertical="center"/>
      <protection locked="0"/>
    </xf>
    <xf numFmtId="0" fontId="34" fillId="0" borderId="0" xfId="61" applyFont="1" applyAlignment="1">
      <alignment vertical="center"/>
      <protection/>
    </xf>
    <xf numFmtId="0" fontId="36" fillId="0" borderId="0" xfId="61" applyFont="1" applyAlignment="1" applyProtection="1">
      <alignment vertical="center"/>
      <protection/>
    </xf>
    <xf numFmtId="0" fontId="37" fillId="0" borderId="0" xfId="61" applyFont="1" applyFill="1" applyBorder="1" applyAlignment="1">
      <alignment vertical="center"/>
      <protection/>
    </xf>
    <xf numFmtId="0" fontId="37" fillId="0" borderId="45" xfId="61" applyFont="1" applyFill="1" applyBorder="1" applyAlignment="1">
      <alignment vertical="center"/>
      <protection/>
    </xf>
    <xf numFmtId="0" fontId="37" fillId="0" borderId="46" xfId="61" applyFont="1" applyFill="1" applyBorder="1" applyAlignment="1">
      <alignment vertical="center"/>
      <protection/>
    </xf>
    <xf numFmtId="0" fontId="34" fillId="0" borderId="47" xfId="61" applyFont="1" applyBorder="1" applyAlignment="1">
      <alignment vertical="center"/>
      <protection/>
    </xf>
    <xf numFmtId="0" fontId="37" fillId="0" borderId="48" xfId="61" applyFont="1" applyFill="1" applyBorder="1" applyAlignment="1">
      <alignment vertical="center"/>
      <protection/>
    </xf>
    <xf numFmtId="0" fontId="34" fillId="0" borderId="49" xfId="61" applyFont="1" applyBorder="1" applyAlignment="1">
      <alignment vertical="center"/>
      <protection/>
    </xf>
    <xf numFmtId="0" fontId="34" fillId="0" borderId="0" xfId="61" applyFont="1" applyBorder="1" applyAlignment="1">
      <alignment vertical="center"/>
      <protection/>
    </xf>
    <xf numFmtId="0" fontId="34" fillId="0" borderId="48" xfId="61" applyFont="1" applyBorder="1" applyAlignment="1">
      <alignment vertical="center"/>
      <protection/>
    </xf>
    <xf numFmtId="0" fontId="41" fillId="0" borderId="0" xfId="61" applyFont="1" applyAlignment="1">
      <alignment vertical="center"/>
      <protection/>
    </xf>
    <xf numFmtId="0" fontId="36" fillId="0" borderId="0" xfId="61" applyFont="1" applyFill="1" applyBorder="1" applyAlignment="1" applyProtection="1">
      <alignment horizontal="center" vertical="center"/>
      <protection/>
    </xf>
    <xf numFmtId="0" fontId="43" fillId="0" borderId="0" xfId="61" applyFont="1" applyFill="1" applyBorder="1" applyAlignment="1" applyProtection="1">
      <alignment horizontal="center" vertical="center"/>
      <protection locked="0"/>
    </xf>
    <xf numFmtId="0" fontId="36" fillId="0" borderId="0" xfId="61" applyFont="1" applyBorder="1" applyAlignment="1">
      <alignment vertical="center"/>
      <protection/>
    </xf>
    <xf numFmtId="0" fontId="36" fillId="0" borderId="0" xfId="61" applyFont="1" applyAlignment="1">
      <alignment vertical="center"/>
      <protection/>
    </xf>
    <xf numFmtId="0" fontId="44" fillId="0" borderId="0" xfId="61" applyFont="1" applyAlignment="1" applyProtection="1">
      <alignment vertical="center"/>
      <protection/>
    </xf>
    <xf numFmtId="0" fontId="44" fillId="0" borderId="0" xfId="61" applyFont="1" applyAlignment="1" applyProtection="1">
      <alignment horizontal="center" vertical="center"/>
      <protection/>
    </xf>
    <xf numFmtId="0" fontId="36" fillId="0" borderId="0" xfId="61" applyFont="1" applyBorder="1" applyAlignment="1">
      <alignment horizontal="center" vertical="center"/>
      <protection/>
    </xf>
    <xf numFmtId="0" fontId="44" fillId="0" borderId="0" xfId="61" applyFont="1" applyAlignment="1">
      <alignment vertical="center"/>
      <protection/>
    </xf>
    <xf numFmtId="0" fontId="48" fillId="0" borderId="0" xfId="61" applyFont="1" applyAlignment="1" applyProtection="1">
      <alignment vertical="center"/>
      <protection/>
    </xf>
    <xf numFmtId="0" fontId="0" fillId="0" borderId="0" xfId="61" applyAlignment="1">
      <alignment vertical="center"/>
      <protection/>
    </xf>
    <xf numFmtId="0" fontId="49" fillId="0" borderId="0" xfId="61" applyFont="1" applyFill="1" applyBorder="1" applyAlignment="1">
      <alignment vertical="center"/>
      <protection/>
    </xf>
    <xf numFmtId="0" fontId="0" fillId="0" borderId="48" xfId="61" applyBorder="1" applyAlignment="1">
      <alignment vertical="center"/>
      <protection/>
    </xf>
    <xf numFmtId="0" fontId="48" fillId="0" borderId="0" xfId="0" applyFont="1" applyBorder="1" applyAlignment="1">
      <alignment horizontal="center" vertical="center"/>
    </xf>
    <xf numFmtId="0" fontId="0" fillId="0" borderId="49" xfId="61" applyBorder="1" applyAlignment="1">
      <alignment vertical="center"/>
      <protection/>
    </xf>
    <xf numFmtId="0" fontId="50" fillId="0" borderId="0" xfId="61" applyFont="1" applyAlignment="1">
      <alignment vertical="center"/>
      <protection/>
    </xf>
    <xf numFmtId="0" fontId="17" fillId="0" borderId="0" xfId="61" applyFont="1" applyAlignment="1">
      <alignment vertical="center"/>
      <protection/>
    </xf>
    <xf numFmtId="0" fontId="19" fillId="0" borderId="0" xfId="61" applyFont="1" applyAlignment="1">
      <alignment vertical="center"/>
      <protection/>
    </xf>
    <xf numFmtId="0" fontId="45" fillId="0" borderId="0" xfId="61" applyFont="1" applyFill="1" applyBorder="1" applyAlignment="1" applyProtection="1">
      <alignment horizontal="center" vertical="center"/>
      <protection locked="0"/>
    </xf>
    <xf numFmtId="0" fontId="52" fillId="0" borderId="0" xfId="61" applyFont="1" applyAlignment="1" applyProtection="1">
      <alignment vertical="center"/>
      <protection/>
    </xf>
    <xf numFmtId="0" fontId="45" fillId="0" borderId="0" xfId="61" applyFont="1" applyBorder="1" applyAlignment="1" applyProtection="1">
      <alignment horizontal="right" vertical="center"/>
      <protection locked="0"/>
    </xf>
    <xf numFmtId="0" fontId="56" fillId="0" borderId="0" xfId="61" applyFont="1" applyAlignment="1" applyProtection="1">
      <alignment vertical="center"/>
      <protection/>
    </xf>
    <xf numFmtId="0" fontId="57" fillId="0" borderId="0" xfId="61" applyFont="1" applyAlignment="1">
      <alignment vertical="center"/>
      <protection/>
    </xf>
    <xf numFmtId="0" fontId="46" fillId="0" borderId="0" xfId="61" applyFont="1" applyAlignment="1">
      <alignment vertical="center"/>
      <protection/>
    </xf>
    <xf numFmtId="49" fontId="48" fillId="0" borderId="0" xfId="61" applyNumberFormat="1" applyFont="1" applyFill="1" applyBorder="1" applyAlignment="1" applyProtection="1">
      <alignment horizontal="center" vertical="center" shrinkToFit="1"/>
      <protection locked="0"/>
    </xf>
    <xf numFmtId="0" fontId="59" fillId="0" borderId="0" xfId="61" applyFont="1" applyAlignment="1" applyProtection="1">
      <alignment horizontal="center" vertical="center"/>
      <protection/>
    </xf>
    <xf numFmtId="0" fontId="52" fillId="0" borderId="0" xfId="61" applyFont="1" applyAlignment="1">
      <alignment vertical="center"/>
      <protection/>
    </xf>
    <xf numFmtId="0" fontId="56" fillId="0" borderId="0" xfId="61" applyFont="1" applyAlignment="1">
      <alignment vertical="center"/>
      <protection/>
    </xf>
    <xf numFmtId="0" fontId="45" fillId="0" borderId="0" xfId="61" applyFont="1" applyBorder="1" applyAlignment="1" applyProtection="1">
      <alignment horizontal="center" vertical="center" shrinkToFit="1"/>
      <protection/>
    </xf>
    <xf numFmtId="0" fontId="2" fillId="0" borderId="0" xfId="61" applyFont="1" applyAlignment="1">
      <alignment vertical="center"/>
      <protection/>
    </xf>
    <xf numFmtId="0" fontId="44" fillId="0" borderId="0" xfId="61" applyFont="1" applyBorder="1" applyAlignment="1" applyProtection="1">
      <alignment vertical="center"/>
      <protection/>
    </xf>
    <xf numFmtId="0" fontId="63" fillId="0" borderId="0" xfId="61" applyFont="1" applyAlignment="1">
      <alignment vertical="center"/>
      <protection/>
    </xf>
    <xf numFmtId="0" fontId="17" fillId="0" borderId="0" xfId="61" applyFont="1" applyAlignment="1">
      <alignment horizontal="left" vertical="center"/>
      <protection/>
    </xf>
    <xf numFmtId="0" fontId="64" fillId="0" borderId="0" xfId="61" applyFont="1" applyBorder="1" applyAlignment="1" applyProtection="1">
      <alignment horizontal="center" vertical="center" shrinkToFit="1"/>
      <protection/>
    </xf>
    <xf numFmtId="0" fontId="0" fillId="0" borderId="50" xfId="61" applyBorder="1" applyAlignment="1">
      <alignment vertical="center"/>
      <protection/>
    </xf>
    <xf numFmtId="196" fontId="56" fillId="0" borderId="0" xfId="61" applyNumberFormat="1" applyFont="1" applyAlignment="1" applyProtection="1">
      <alignment vertical="center"/>
      <protection/>
    </xf>
    <xf numFmtId="196" fontId="66" fillId="0" borderId="0" xfId="61" applyNumberFormat="1" applyFont="1" applyAlignment="1">
      <alignment vertical="center"/>
      <protection/>
    </xf>
    <xf numFmtId="0" fontId="51" fillId="0" borderId="0" xfId="61" applyFont="1" applyAlignment="1" applyProtection="1">
      <alignment vertical="center"/>
      <protection/>
    </xf>
    <xf numFmtId="196" fontId="50" fillId="0" borderId="0" xfId="61" applyNumberFormat="1" applyFont="1" applyAlignment="1">
      <alignment vertical="center"/>
      <protection/>
    </xf>
    <xf numFmtId="196" fontId="19" fillId="0" borderId="0" xfId="61" applyNumberFormat="1" applyFont="1" applyAlignment="1">
      <alignment vertical="center"/>
      <protection/>
    </xf>
    <xf numFmtId="196" fontId="67" fillId="0" borderId="0" xfId="61" applyNumberFormat="1" applyFont="1" applyFill="1" applyBorder="1" applyAlignment="1" applyProtection="1">
      <alignment horizontal="center" vertical="center"/>
      <protection locked="0"/>
    </xf>
    <xf numFmtId="0" fontId="56" fillId="0" borderId="12" xfId="61" applyFont="1" applyBorder="1" applyAlignment="1" applyProtection="1">
      <alignment vertical="center"/>
      <protection/>
    </xf>
    <xf numFmtId="0" fontId="50" fillId="0" borderId="12" xfId="61" applyFont="1" applyBorder="1" applyAlignment="1">
      <alignment vertical="center"/>
      <protection/>
    </xf>
    <xf numFmtId="0" fontId="50" fillId="0" borderId="0" xfId="61" applyFont="1" applyBorder="1" applyAlignment="1">
      <alignment vertical="center"/>
      <protection/>
    </xf>
    <xf numFmtId="0" fontId="0" fillId="0" borderId="0" xfId="61" applyBorder="1" applyAlignment="1">
      <alignment vertical="center"/>
      <protection/>
    </xf>
    <xf numFmtId="0" fontId="68" fillId="0" borderId="0" xfId="61" applyFont="1" applyBorder="1" applyAlignment="1" applyProtection="1">
      <alignment vertical="center"/>
      <protection hidden="1"/>
    </xf>
    <xf numFmtId="0" fontId="74" fillId="0" borderId="0" xfId="61" applyFont="1" applyAlignment="1" applyProtection="1">
      <alignment vertical="center"/>
      <protection/>
    </xf>
    <xf numFmtId="0" fontId="6" fillId="0" borderId="0" xfId="61" applyFont="1" applyBorder="1" applyAlignment="1" applyProtection="1">
      <alignment vertical="center"/>
      <protection hidden="1"/>
    </xf>
    <xf numFmtId="0" fontId="0" fillId="0" borderId="0" xfId="61" applyFont="1" applyAlignment="1">
      <alignment vertical="center"/>
      <protection/>
    </xf>
    <xf numFmtId="0" fontId="76" fillId="0" borderId="0" xfId="61" applyFont="1" applyFill="1" applyBorder="1" applyAlignment="1">
      <alignment horizontal="center" vertical="center"/>
      <protection/>
    </xf>
    <xf numFmtId="0" fontId="48" fillId="0" borderId="0" xfId="61" applyFont="1" applyBorder="1" applyAlignment="1" applyProtection="1">
      <alignment vertical="center"/>
      <protection/>
    </xf>
    <xf numFmtId="0" fontId="42" fillId="0" borderId="0" xfId="61" applyFont="1" applyBorder="1" applyAlignment="1" applyProtection="1">
      <alignment vertical="center"/>
      <protection locked="0"/>
    </xf>
    <xf numFmtId="0" fontId="73" fillId="0" borderId="0" xfId="61" applyFont="1" applyAlignment="1">
      <alignment/>
      <protection/>
    </xf>
    <xf numFmtId="0" fontId="78" fillId="0" borderId="0" xfId="61" applyFont="1" applyBorder="1" applyAlignment="1" applyProtection="1">
      <alignment horizontal="center"/>
      <protection/>
    </xf>
    <xf numFmtId="0" fontId="77" fillId="0" borderId="0" xfId="61" applyFont="1" applyFill="1" applyBorder="1" applyAlignment="1">
      <alignment/>
      <protection/>
    </xf>
    <xf numFmtId="0" fontId="78" fillId="0" borderId="0" xfId="61" applyFont="1" applyAlignment="1">
      <alignment horizontal="center"/>
      <protection/>
    </xf>
    <xf numFmtId="0" fontId="79" fillId="0" borderId="0" xfId="61" applyFont="1" applyAlignment="1">
      <alignment vertical="center"/>
      <protection/>
    </xf>
    <xf numFmtId="0" fontId="79" fillId="0" borderId="0" xfId="61" applyFont="1" applyFill="1" applyBorder="1" applyAlignment="1">
      <alignment vertical="center"/>
      <protection/>
    </xf>
    <xf numFmtId="0" fontId="34" fillId="0" borderId="0" xfId="61" applyFont="1" applyFill="1" applyBorder="1" applyAlignment="1">
      <alignment vertical="center"/>
      <protection/>
    </xf>
    <xf numFmtId="0" fontId="73" fillId="0" borderId="0" xfId="61" applyFont="1" applyFill="1" applyBorder="1" applyAlignment="1">
      <alignment/>
      <protection/>
    </xf>
    <xf numFmtId="0" fontId="73" fillId="0" borderId="0" xfId="61" applyFont="1" applyAlignment="1">
      <alignment horizontal="left"/>
      <protection/>
    </xf>
    <xf numFmtId="0" fontId="47" fillId="0" borderId="0" xfId="61" applyFont="1" applyFill="1" applyBorder="1" applyAlignment="1" applyProtection="1">
      <alignment horizontal="center" vertical="center" shrinkToFit="1"/>
      <protection/>
    </xf>
    <xf numFmtId="196" fontId="80" fillId="0" borderId="0" xfId="61" applyNumberFormat="1" applyFont="1" applyFill="1" applyBorder="1" applyAlignment="1" applyProtection="1">
      <alignment horizontal="center" shrinkToFit="1"/>
      <protection/>
    </xf>
    <xf numFmtId="0" fontId="80" fillId="0" borderId="0" xfId="61" applyFont="1" applyFill="1" applyBorder="1" applyAlignment="1" applyProtection="1">
      <alignment horizontal="center" shrinkToFit="1"/>
      <protection/>
    </xf>
    <xf numFmtId="0" fontId="81" fillId="0" borderId="0" xfId="61" applyFont="1" applyFill="1" applyBorder="1" applyAlignment="1" applyProtection="1">
      <alignment horizontal="center" shrinkToFit="1"/>
      <protection/>
    </xf>
    <xf numFmtId="0" fontId="78" fillId="0" borderId="0" xfId="61" applyNumberFormat="1" applyFont="1" applyBorder="1" applyAlignment="1" applyProtection="1">
      <alignment horizontal="center" shrinkToFit="1"/>
      <protection/>
    </xf>
    <xf numFmtId="0" fontId="73" fillId="0" borderId="0" xfId="61" applyFont="1" applyBorder="1" applyAlignment="1" applyProtection="1">
      <alignment horizontal="left"/>
      <protection locked="0"/>
    </xf>
    <xf numFmtId="0" fontId="57" fillId="0" borderId="0" xfId="61" applyFont="1" applyBorder="1" applyAlignment="1" applyProtection="1">
      <alignment horizontal="left"/>
      <protection locked="0"/>
    </xf>
    <xf numFmtId="0" fontId="73" fillId="0" borderId="0" xfId="61" applyFont="1" applyBorder="1" applyAlignment="1">
      <alignment/>
      <protection/>
    </xf>
    <xf numFmtId="0" fontId="0" fillId="0" borderId="0" xfId="61" applyFill="1" applyBorder="1" applyAlignment="1">
      <alignment vertical="center"/>
      <protection/>
    </xf>
    <xf numFmtId="0" fontId="62" fillId="0" borderId="0" xfId="61" applyFont="1" applyFill="1" applyBorder="1" applyAlignment="1" applyProtection="1">
      <alignment horizontal="center" vertical="center"/>
      <protection/>
    </xf>
    <xf numFmtId="0" fontId="62" fillId="0" borderId="0" xfId="61" applyFont="1" applyFill="1" applyAlignment="1" applyProtection="1">
      <alignment horizontal="center" vertical="center"/>
      <protection/>
    </xf>
    <xf numFmtId="0" fontId="55" fillId="0" borderId="12" xfId="61" applyFont="1" applyBorder="1" applyAlignment="1">
      <alignment vertical="center"/>
      <protection/>
    </xf>
    <xf numFmtId="0" fontId="55" fillId="0" borderId="0" xfId="61" applyFont="1" applyAlignment="1">
      <alignment vertical="center"/>
      <protection/>
    </xf>
    <xf numFmtId="0" fontId="40" fillId="0" borderId="0" xfId="61" applyFont="1" applyFill="1" applyBorder="1" applyAlignment="1" applyProtection="1">
      <alignment horizontal="center" vertical="center"/>
      <protection/>
    </xf>
    <xf numFmtId="0" fontId="42" fillId="0" borderId="0" xfId="61" applyFont="1" applyAlignment="1" applyProtection="1">
      <alignment vertical="center"/>
      <protection/>
    </xf>
    <xf numFmtId="0" fontId="83" fillId="0" borderId="0" xfId="0" applyFont="1" applyAlignment="1">
      <alignment/>
    </xf>
    <xf numFmtId="0" fontId="83" fillId="0" borderId="0" xfId="0" applyFont="1" applyAlignment="1">
      <alignment horizontal="center" vertical="center"/>
    </xf>
    <xf numFmtId="0" fontId="34" fillId="0" borderId="0" xfId="0" applyFont="1" applyAlignment="1">
      <alignment horizontal="center" vertical="center"/>
    </xf>
    <xf numFmtId="0" fontId="35" fillId="0" borderId="0" xfId="0" applyFont="1" applyAlignment="1">
      <alignment horizontal="center" vertical="center"/>
    </xf>
    <xf numFmtId="0" fontId="34" fillId="0" borderId="0" xfId="0" applyFont="1" applyAlignment="1">
      <alignment horizontal="center" vertical="center" shrinkToFit="1"/>
    </xf>
    <xf numFmtId="0" fontId="35" fillId="0" borderId="0" xfId="0" applyFont="1" applyAlignment="1">
      <alignment horizontal="center" vertical="center" shrinkToFit="1"/>
    </xf>
    <xf numFmtId="0" fontId="83" fillId="0" borderId="0" xfId="0" applyFont="1" applyFill="1" applyAlignment="1">
      <alignment horizontal="center" vertical="center"/>
    </xf>
    <xf numFmtId="0" fontId="83" fillId="0" borderId="0" xfId="0" applyFont="1" applyAlignment="1">
      <alignment horizontal="center" vertical="center" shrinkToFit="1"/>
    </xf>
    <xf numFmtId="0" fontId="83" fillId="0" borderId="0" xfId="0" applyFont="1" applyFill="1" applyBorder="1" applyAlignment="1">
      <alignment horizontal="center" vertical="center"/>
    </xf>
    <xf numFmtId="0" fontId="83" fillId="0" borderId="0" xfId="0" applyFont="1" applyFill="1" applyAlignment="1">
      <alignment horizontal="center" vertical="center" shrinkToFit="1"/>
    </xf>
    <xf numFmtId="0" fontId="85" fillId="0" borderId="0" xfId="0" applyFont="1" applyFill="1" applyAlignment="1">
      <alignment horizontal="center" vertical="center" shrinkToFit="1"/>
    </xf>
    <xf numFmtId="49" fontId="85" fillId="0" borderId="0" xfId="0" applyNumberFormat="1" applyFont="1" applyFill="1" applyAlignment="1">
      <alignment horizontal="center" vertical="center" shrinkToFit="1"/>
    </xf>
    <xf numFmtId="0" fontId="85" fillId="0" borderId="0" xfId="0" applyNumberFormat="1" applyFont="1" applyFill="1" applyBorder="1" applyAlignment="1">
      <alignment horizontal="center" vertical="center" shrinkToFit="1"/>
    </xf>
    <xf numFmtId="0" fontId="83" fillId="0" borderId="51" xfId="0" applyFont="1" applyBorder="1" applyAlignment="1">
      <alignment/>
    </xf>
    <xf numFmtId="0" fontId="83" fillId="0" borderId="52" xfId="0" applyFont="1" applyBorder="1" applyAlignment="1">
      <alignment/>
    </xf>
    <xf numFmtId="0" fontId="83" fillId="0" borderId="53" xfId="0" applyFont="1" applyBorder="1" applyAlignment="1">
      <alignment/>
    </xf>
    <xf numFmtId="0" fontId="83" fillId="0" borderId="53" xfId="0" applyFont="1" applyBorder="1" applyAlignment="1">
      <alignment horizontal="left"/>
    </xf>
    <xf numFmtId="0" fontId="83" fillId="0" borderId="54" xfId="0" applyFont="1" applyBorder="1" applyAlignment="1">
      <alignment/>
    </xf>
    <xf numFmtId="0" fontId="83" fillId="0" borderId="55" xfId="0" applyFont="1" applyBorder="1" applyAlignment="1">
      <alignment/>
    </xf>
    <xf numFmtId="0" fontId="83" fillId="0" borderId="56" xfId="0" applyFont="1" applyBorder="1" applyAlignment="1">
      <alignment/>
    </xf>
    <xf numFmtId="0" fontId="4" fillId="0" borderId="0" xfId="0" applyFont="1" applyAlignment="1">
      <alignment/>
    </xf>
    <xf numFmtId="0" fontId="4"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wrapText="1"/>
    </xf>
    <xf numFmtId="0" fontId="4" fillId="0" borderId="0" xfId="0" applyFont="1" applyFill="1" applyBorder="1" applyAlignment="1">
      <alignment horizontal="center" vertical="center" shrinkToFit="1"/>
    </xf>
    <xf numFmtId="0" fontId="0" fillId="0" borderId="0" xfId="0" applyFill="1" applyAlignment="1">
      <alignment/>
    </xf>
    <xf numFmtId="0" fontId="4" fillId="0" borderId="0" xfId="0" applyFont="1" applyAlignment="1">
      <alignment vertical="center"/>
    </xf>
    <xf numFmtId="0" fontId="0" fillId="0" borderId="57" xfId="0" applyBorder="1" applyAlignment="1">
      <alignment shrinkToFit="1"/>
    </xf>
    <xf numFmtId="0" fontId="0" fillId="0" borderId="58" xfId="0" applyBorder="1" applyAlignment="1">
      <alignment vertical="center" shrinkToFit="1"/>
    </xf>
    <xf numFmtId="0" fontId="0" fillId="0" borderId="59" xfId="0" applyBorder="1" applyAlignment="1">
      <alignment/>
    </xf>
    <xf numFmtId="0" fontId="0" fillId="0" borderId="60" xfId="0" applyBorder="1" applyAlignment="1">
      <alignment/>
    </xf>
    <xf numFmtId="0" fontId="4" fillId="0" borderId="0" xfId="0" applyFont="1" applyAlignment="1">
      <alignment horizontal="left" vertical="center"/>
    </xf>
    <xf numFmtId="0" fontId="27" fillId="0" borderId="0" xfId="0" applyFont="1" applyFill="1" applyBorder="1" applyAlignment="1" applyProtection="1">
      <alignment vertical="top"/>
      <protection locked="0"/>
    </xf>
    <xf numFmtId="0" fontId="19" fillId="0" borderId="0" xfId="0" applyFont="1" applyBorder="1" applyAlignment="1" applyProtection="1">
      <alignment/>
      <protection locked="0"/>
    </xf>
    <xf numFmtId="0" fontId="19" fillId="0" borderId="0" xfId="0" applyFont="1" applyAlignment="1" applyProtection="1">
      <alignment/>
      <protection locked="0"/>
    </xf>
    <xf numFmtId="0" fontId="27" fillId="0" borderId="0" xfId="0" applyFont="1" applyBorder="1" applyAlignment="1" applyProtection="1">
      <alignment/>
      <protection locked="0"/>
    </xf>
    <xf numFmtId="0" fontId="50" fillId="41" borderId="0" xfId="0" applyFont="1" applyFill="1" applyBorder="1" applyAlignment="1" applyProtection="1">
      <alignment/>
      <protection locked="0"/>
    </xf>
    <xf numFmtId="0" fontId="30" fillId="0" borderId="61" xfId="0" applyFont="1" applyBorder="1" applyAlignment="1" applyProtection="1">
      <alignment vertical="top"/>
      <protection locked="0"/>
    </xf>
    <xf numFmtId="0" fontId="91" fillId="46" borderId="0" xfId="0" applyFont="1" applyFill="1" applyBorder="1" applyAlignment="1" applyProtection="1">
      <alignment/>
      <protection locked="0"/>
    </xf>
    <xf numFmtId="0" fontId="30" fillId="0" borderId="62" xfId="0" applyFont="1" applyBorder="1" applyAlignment="1" applyProtection="1">
      <alignment vertical="top"/>
      <protection locked="0"/>
    </xf>
    <xf numFmtId="0" fontId="91" fillId="41" borderId="0" xfId="0" applyFont="1" applyFill="1" applyBorder="1" applyAlignment="1" applyProtection="1">
      <alignment/>
      <protection locked="0"/>
    </xf>
    <xf numFmtId="0" fontId="91" fillId="46" borderId="0" xfId="0" applyFont="1" applyFill="1" applyBorder="1" applyAlignment="1" applyProtection="1">
      <alignment vertical="top"/>
      <protection locked="0"/>
    </xf>
    <xf numFmtId="0" fontId="4" fillId="0" borderId="0" xfId="0" applyFont="1" applyBorder="1" applyAlignment="1">
      <alignment horizontal="right" vertical="center"/>
    </xf>
    <xf numFmtId="176" fontId="4" fillId="47" borderId="20" xfId="49" applyNumberFormat="1" applyFont="1" applyFill="1" applyBorder="1" applyAlignment="1" applyProtection="1">
      <alignment horizontal="center" vertical="center" shrinkToFit="1"/>
      <protection locked="0"/>
    </xf>
    <xf numFmtId="176" fontId="4" fillId="47" borderId="63" xfId="49" applyNumberFormat="1" applyFont="1" applyFill="1" applyBorder="1" applyAlignment="1" applyProtection="1">
      <alignment horizontal="center" vertical="center" shrinkToFit="1"/>
      <protection locked="0"/>
    </xf>
    <xf numFmtId="176" fontId="4" fillId="47" borderId="64" xfId="49" applyNumberFormat="1" applyFont="1" applyFill="1" applyBorder="1" applyAlignment="1" applyProtection="1">
      <alignment horizontal="center" vertical="center" shrinkToFit="1"/>
      <protection locked="0"/>
    </xf>
    <xf numFmtId="0" fontId="4" fillId="47" borderId="20" xfId="0" applyFont="1" applyFill="1" applyBorder="1" applyAlignment="1" applyProtection="1">
      <alignment horizontal="center" vertical="center" shrinkToFit="1"/>
      <protection locked="0"/>
    </xf>
    <xf numFmtId="0" fontId="4" fillId="47" borderId="63" xfId="0" applyFont="1" applyFill="1" applyBorder="1" applyAlignment="1" applyProtection="1">
      <alignment horizontal="center" vertical="center" shrinkToFit="1"/>
      <protection locked="0"/>
    </xf>
    <xf numFmtId="0" fontId="4" fillId="47" borderId="64" xfId="0" applyFont="1" applyFill="1" applyBorder="1" applyAlignment="1" applyProtection="1">
      <alignment horizontal="center" vertical="center" shrinkToFit="1"/>
      <protection locked="0"/>
    </xf>
    <xf numFmtId="0" fontId="4" fillId="0" borderId="0" xfId="0" applyFont="1" applyBorder="1" applyAlignment="1">
      <alignment vertical="center"/>
    </xf>
    <xf numFmtId="0" fontId="4" fillId="34" borderId="32" xfId="0" applyFont="1" applyFill="1" applyBorder="1" applyAlignment="1" applyProtection="1">
      <alignment horizontal="center" vertical="center"/>
      <protection locked="0"/>
    </xf>
    <xf numFmtId="38" fontId="4" fillId="43" borderId="64" xfId="49" applyFont="1" applyFill="1" applyBorder="1" applyAlignment="1" applyProtection="1">
      <alignment horizontal="center" vertical="center"/>
      <protection locked="0"/>
    </xf>
    <xf numFmtId="176" fontId="4" fillId="43" borderId="64" xfId="49" applyNumberFormat="1" applyFont="1" applyFill="1" applyBorder="1" applyAlignment="1" applyProtection="1">
      <alignment horizontal="center" vertical="center"/>
      <protection locked="0"/>
    </xf>
    <xf numFmtId="176" fontId="4" fillId="41" borderId="64" xfId="49" applyNumberFormat="1" applyFont="1" applyFill="1" applyBorder="1" applyAlignment="1" applyProtection="1">
      <alignment horizontal="center" vertical="center"/>
      <protection/>
    </xf>
    <xf numFmtId="212" fontId="4" fillId="43" borderId="64" xfId="49" applyNumberFormat="1" applyFont="1" applyFill="1" applyBorder="1" applyAlignment="1" applyProtection="1">
      <alignment horizontal="center" vertical="center"/>
      <protection locked="0"/>
    </xf>
    <xf numFmtId="213" fontId="4" fillId="41" borderId="64" xfId="49" applyNumberFormat="1" applyFont="1" applyFill="1" applyBorder="1" applyAlignment="1" applyProtection="1">
      <alignment horizontal="center" vertical="center"/>
      <protection/>
    </xf>
    <xf numFmtId="0" fontId="4" fillId="43" borderId="64" xfId="0" applyFont="1" applyFill="1" applyBorder="1" applyAlignment="1" applyProtection="1">
      <alignment horizontal="center" vertical="center"/>
      <protection locked="0"/>
    </xf>
    <xf numFmtId="0" fontId="4" fillId="41" borderId="64" xfId="0" applyFont="1" applyFill="1" applyBorder="1" applyAlignment="1" applyProtection="1">
      <alignment horizontal="center" vertical="center"/>
      <protection locked="0"/>
    </xf>
    <xf numFmtId="0" fontId="4" fillId="41" borderId="65" xfId="0" applyFont="1" applyFill="1" applyBorder="1" applyAlignment="1" applyProtection="1">
      <alignment horizontal="center" vertical="center"/>
      <protection locked="0"/>
    </xf>
    <xf numFmtId="0" fontId="0" fillId="0" borderId="0" xfId="0" applyFont="1" applyAlignment="1" applyProtection="1">
      <alignment vertical="top"/>
      <protection locked="0"/>
    </xf>
    <xf numFmtId="0" fontId="0" fillId="0" borderId="0" xfId="0" applyFont="1" applyAlignment="1" applyProtection="1">
      <alignment/>
      <protection locked="0"/>
    </xf>
    <xf numFmtId="0" fontId="30" fillId="0" borderId="61" xfId="0" applyFont="1" applyBorder="1" applyAlignment="1" applyProtection="1">
      <alignment vertical="center"/>
      <protection locked="0"/>
    </xf>
    <xf numFmtId="0" fontId="0" fillId="0" borderId="62"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96" fontId="0" fillId="0" borderId="66" xfId="0" applyNumberFormat="1" applyFont="1" applyFill="1" applyBorder="1" applyAlignment="1" applyProtection="1">
      <alignment horizontal="left" vertical="top" wrapText="1"/>
      <protection locked="0"/>
    </xf>
    <xf numFmtId="196" fontId="0" fillId="0" borderId="0" xfId="0" applyNumberFormat="1"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0" fillId="33" borderId="52" xfId="0" applyFont="1" applyFill="1" applyBorder="1" applyAlignment="1" applyProtection="1">
      <alignment horizontal="left"/>
      <protection locked="0"/>
    </xf>
    <xf numFmtId="0" fontId="0" fillId="33" borderId="67" xfId="0" applyFont="1" applyFill="1" applyBorder="1" applyAlignment="1" applyProtection="1">
      <alignment horizontal="left"/>
      <protection locked="0"/>
    </xf>
    <xf numFmtId="0" fontId="0" fillId="0" borderId="0" xfId="0" applyFont="1" applyAlignment="1" applyProtection="1">
      <alignment wrapText="1"/>
      <protection locked="0"/>
    </xf>
    <xf numFmtId="0" fontId="0" fillId="0" borderId="0" xfId="0" applyFont="1" applyAlignment="1" applyProtection="1">
      <alignment vertical="top"/>
      <protection locked="0"/>
    </xf>
    <xf numFmtId="0" fontId="0" fillId="0" borderId="0" xfId="0" applyFont="1" applyAlignment="1" applyProtection="1">
      <alignment/>
      <protection locked="0"/>
    </xf>
    <xf numFmtId="0" fontId="0" fillId="0" borderId="0" xfId="0" applyFont="1" applyAlignment="1" applyProtection="1">
      <alignment vertical="top"/>
      <protection locked="0"/>
    </xf>
    <xf numFmtId="0" fontId="0" fillId="0" borderId="45" xfId="0" applyFont="1" applyBorder="1" applyAlignment="1" applyProtection="1">
      <alignment/>
      <protection/>
    </xf>
    <xf numFmtId="0" fontId="0" fillId="0" borderId="46" xfId="0" applyFont="1" applyBorder="1" applyAlignment="1" applyProtection="1">
      <alignment/>
      <protection/>
    </xf>
    <xf numFmtId="0" fontId="0" fillId="0" borderId="47" xfId="0" applyFont="1" applyBorder="1" applyAlignment="1" applyProtection="1">
      <alignment/>
      <protection/>
    </xf>
    <xf numFmtId="0" fontId="0" fillId="0" borderId="0" xfId="0" applyFont="1" applyAlignment="1" applyProtection="1">
      <alignment/>
      <protection/>
    </xf>
    <xf numFmtId="0" fontId="0" fillId="0" borderId="48" xfId="0" applyFont="1" applyBorder="1" applyAlignment="1" applyProtection="1">
      <alignment/>
      <protection/>
    </xf>
    <xf numFmtId="0" fontId="0" fillId="0" borderId="0" xfId="0" applyFont="1" applyBorder="1" applyAlignment="1" applyProtection="1">
      <alignment/>
      <protection/>
    </xf>
    <xf numFmtId="0" fontId="0" fillId="0" borderId="49" xfId="0" applyFont="1" applyBorder="1" applyAlignment="1" applyProtection="1">
      <alignment/>
      <protection/>
    </xf>
    <xf numFmtId="0" fontId="0" fillId="0" borderId="0" xfId="0" applyFont="1" applyBorder="1" applyAlignment="1" applyProtection="1">
      <alignment/>
      <protection locked="0"/>
    </xf>
    <xf numFmtId="0" fontId="0" fillId="0" borderId="48" xfId="0" applyFont="1" applyBorder="1" applyAlignment="1" applyProtection="1">
      <alignment/>
      <protection locked="0"/>
    </xf>
    <xf numFmtId="0" fontId="0" fillId="0" borderId="0" xfId="0" applyFont="1" applyBorder="1" applyAlignment="1" applyProtection="1">
      <alignment horizontal="left"/>
      <protection/>
    </xf>
    <xf numFmtId="0" fontId="0" fillId="0" borderId="61" xfId="0" applyFont="1" applyBorder="1" applyAlignment="1" applyProtection="1">
      <alignment/>
      <protection/>
    </xf>
    <xf numFmtId="0" fontId="0" fillId="0" borderId="16" xfId="0" applyFont="1" applyBorder="1" applyAlignment="1" applyProtection="1">
      <alignment/>
      <protection/>
    </xf>
    <xf numFmtId="0" fontId="0" fillId="0" borderId="11" xfId="0" applyFont="1" applyBorder="1" applyAlignment="1" applyProtection="1">
      <alignment/>
      <protection/>
    </xf>
    <xf numFmtId="0" fontId="0" fillId="0" borderId="16" xfId="0" applyFont="1" applyBorder="1" applyAlignment="1" applyProtection="1">
      <alignment/>
      <protection locked="0"/>
    </xf>
    <xf numFmtId="0" fontId="4" fillId="0" borderId="12" xfId="0" applyFont="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2" fillId="0" borderId="0" xfId="0" applyFont="1" applyAlignment="1" applyProtection="1">
      <alignment horizontal="right" vertical="center"/>
      <protection/>
    </xf>
    <xf numFmtId="0" fontId="8" fillId="42" borderId="68" xfId="0" applyFont="1" applyFill="1" applyBorder="1" applyAlignment="1">
      <alignment horizontal="center" vertical="center" shrinkToFit="1"/>
    </xf>
    <xf numFmtId="0" fontId="55" fillId="0" borderId="48" xfId="61" applyFont="1" applyBorder="1" applyAlignment="1" applyProtection="1">
      <alignment vertical="center"/>
      <protection/>
    </xf>
    <xf numFmtId="0" fontId="94" fillId="0" borderId="0" xfId="61" applyFont="1" applyAlignment="1">
      <alignment vertical="center"/>
      <protection/>
    </xf>
    <xf numFmtId="0" fontId="94" fillId="0" borderId="0" xfId="61" applyFont="1" applyAlignment="1" applyProtection="1">
      <alignment vertical="center"/>
      <protection/>
    </xf>
    <xf numFmtId="0" fontId="82" fillId="0" borderId="0" xfId="61" applyFont="1" applyAlignment="1">
      <alignment/>
      <protection/>
    </xf>
    <xf numFmtId="0" fontId="0" fillId="0" borderId="0" xfId="61" applyFont="1" applyAlignment="1">
      <alignment vertical="center"/>
      <protection/>
    </xf>
    <xf numFmtId="0" fontId="0" fillId="0" borderId="0" xfId="61" applyFont="1" applyAlignment="1">
      <alignment vertical="center"/>
      <protection/>
    </xf>
    <xf numFmtId="0" fontId="0" fillId="0" borderId="0" xfId="61" applyFont="1" applyAlignment="1" applyProtection="1">
      <alignment vertical="center"/>
      <protection/>
    </xf>
    <xf numFmtId="0" fontId="6" fillId="0" borderId="0" xfId="61" applyFont="1" applyAlignment="1">
      <alignment vertical="center"/>
      <protection/>
    </xf>
    <xf numFmtId="0" fontId="4" fillId="0" borderId="21" xfId="0" applyFont="1" applyBorder="1" applyAlignment="1" applyProtection="1">
      <alignment horizontal="center" vertical="center"/>
      <protection locked="0"/>
    </xf>
    <xf numFmtId="0" fontId="95" fillId="0" borderId="0" xfId="61" applyFont="1" applyBorder="1" applyAlignment="1" applyProtection="1">
      <alignment vertical="center"/>
      <protection/>
    </xf>
    <xf numFmtId="0" fontId="4" fillId="0" borderId="0" xfId="0" applyFont="1" applyBorder="1" applyAlignment="1" applyProtection="1">
      <alignment vertical="center"/>
      <protection/>
    </xf>
    <xf numFmtId="0" fontId="96" fillId="0" borderId="0" xfId="61" applyFont="1" applyAlignment="1">
      <alignment vertical="center"/>
      <protection/>
    </xf>
    <xf numFmtId="0" fontId="11" fillId="0" borderId="0" xfId="61" applyFont="1" applyAlignment="1">
      <alignment vertical="center"/>
      <protection/>
    </xf>
    <xf numFmtId="0" fontId="11" fillId="0" borderId="0" xfId="61" applyFont="1" applyAlignment="1">
      <alignment horizontal="center" vertical="center"/>
      <protection/>
    </xf>
    <xf numFmtId="0" fontId="97" fillId="0" borderId="0" xfId="61" applyFont="1" applyBorder="1" applyAlignment="1" applyProtection="1">
      <alignment vertical="center"/>
      <protection/>
    </xf>
    <xf numFmtId="200" fontId="96" fillId="0" borderId="0" xfId="61" applyNumberFormat="1" applyFont="1" applyAlignment="1" applyProtection="1">
      <alignment vertical="center"/>
      <protection/>
    </xf>
    <xf numFmtId="200" fontId="96" fillId="0" borderId="0" xfId="61" applyNumberFormat="1" applyFont="1" applyFill="1" applyAlignment="1" applyProtection="1">
      <alignment horizontal="center" vertical="center"/>
      <protection/>
    </xf>
    <xf numFmtId="0" fontId="96" fillId="0" borderId="0" xfId="61" applyFont="1" applyFill="1" applyAlignment="1" applyProtection="1">
      <alignment horizontal="center" vertical="center"/>
      <protection/>
    </xf>
    <xf numFmtId="0" fontId="41" fillId="0" borderId="0" xfId="61" applyFont="1" applyFill="1" applyAlignment="1" applyProtection="1">
      <alignment horizontal="center" vertical="center"/>
      <protection/>
    </xf>
    <xf numFmtId="0" fontId="96" fillId="0" borderId="0" xfId="61" applyFont="1" applyAlignment="1" applyProtection="1">
      <alignment vertical="center"/>
      <protection/>
    </xf>
    <xf numFmtId="0" fontId="41" fillId="0" borderId="0" xfId="61" applyFont="1" applyAlignment="1" applyProtection="1">
      <alignment vertical="center"/>
      <protection/>
    </xf>
    <xf numFmtId="0" fontId="34" fillId="0" borderId="0" xfId="61" applyFont="1" applyFill="1" applyAlignment="1" applyProtection="1">
      <alignment horizontal="center" vertical="center"/>
      <protection/>
    </xf>
    <xf numFmtId="200" fontId="96" fillId="0" borderId="0" xfId="61" applyNumberFormat="1" applyFont="1" applyAlignment="1">
      <alignment vertical="center"/>
      <protection/>
    </xf>
    <xf numFmtId="0" fontId="2" fillId="0" borderId="20" xfId="0" applyFont="1" applyBorder="1" applyAlignment="1">
      <alignment horizontal="center" vertical="center" shrinkToFit="1"/>
    </xf>
    <xf numFmtId="0" fontId="2" fillId="0" borderId="64" xfId="0" applyFont="1" applyBorder="1" applyAlignment="1">
      <alignment horizontal="center" vertical="center" shrinkToFit="1"/>
    </xf>
    <xf numFmtId="0" fontId="0" fillId="0" borderId="0" xfId="0" applyFill="1" applyBorder="1" applyAlignment="1">
      <alignment/>
    </xf>
    <xf numFmtId="0" fontId="0" fillId="0" borderId="69" xfId="0" applyBorder="1" applyAlignment="1">
      <alignment vertical="center" shrinkToFit="1"/>
    </xf>
    <xf numFmtId="0" fontId="0" fillId="0" borderId="70" xfId="0" applyBorder="1" applyAlignment="1">
      <alignment/>
    </xf>
    <xf numFmtId="0" fontId="0" fillId="0" borderId="58" xfId="0" applyFill="1" applyBorder="1" applyAlignment="1">
      <alignment vertical="center" shrinkToFit="1"/>
    </xf>
    <xf numFmtId="0" fontId="0" fillId="0" borderId="58" xfId="0" applyBorder="1" applyAlignment="1">
      <alignment/>
    </xf>
    <xf numFmtId="0" fontId="0" fillId="0" borderId="60" xfId="0" applyFill="1" applyBorder="1" applyAlignment="1">
      <alignment/>
    </xf>
    <xf numFmtId="49" fontId="4" fillId="33" borderId="71" xfId="0" applyNumberFormat="1" applyFont="1" applyFill="1" applyBorder="1" applyAlignment="1" applyProtection="1">
      <alignment horizontal="left" vertical="center" wrapText="1"/>
      <protection locked="0"/>
    </xf>
    <xf numFmtId="49" fontId="4" fillId="41" borderId="71" xfId="0" applyNumberFormat="1" applyFont="1" applyFill="1" applyBorder="1" applyAlignment="1" applyProtection="1">
      <alignment horizontal="left" vertical="center" wrapText="1"/>
      <protection locked="0"/>
    </xf>
    <xf numFmtId="49" fontId="4" fillId="0" borderId="0" xfId="0" applyNumberFormat="1" applyFont="1" applyFill="1" applyBorder="1" applyAlignment="1" applyProtection="1">
      <alignment horizontal="left" vertical="center" wrapText="1"/>
      <protection locked="0"/>
    </xf>
    <xf numFmtId="49" fontId="4" fillId="33" borderId="32" xfId="0" applyNumberFormat="1" applyFont="1" applyFill="1" applyBorder="1" applyAlignment="1" applyProtection="1">
      <alignment horizontal="left" vertical="center" wrapText="1"/>
      <protection locked="0"/>
    </xf>
    <xf numFmtId="49" fontId="4" fillId="33" borderId="34" xfId="0" applyNumberFormat="1" applyFont="1" applyFill="1" applyBorder="1" applyAlignment="1" applyProtection="1">
      <alignment horizontal="left" vertical="center" wrapText="1"/>
      <protection locked="0"/>
    </xf>
    <xf numFmtId="49" fontId="4" fillId="33" borderId="21" xfId="0" applyNumberFormat="1" applyFont="1" applyFill="1" applyBorder="1" applyAlignment="1" applyProtection="1">
      <alignment horizontal="left" vertical="center" wrapText="1"/>
      <protection locked="0"/>
    </xf>
    <xf numFmtId="49" fontId="4" fillId="33" borderId="64" xfId="0" applyNumberFormat="1" applyFont="1" applyFill="1" applyBorder="1" applyAlignment="1" applyProtection="1">
      <alignment horizontal="left" vertical="center" wrapText="1"/>
      <protection locked="0"/>
    </xf>
    <xf numFmtId="0" fontId="0" fillId="0" borderId="0" xfId="0" applyAlignment="1">
      <alignment vertical="center"/>
    </xf>
    <xf numFmtId="0" fontId="36" fillId="0" borderId="0" xfId="61" applyFont="1" applyFill="1" applyBorder="1" applyAlignment="1" applyProtection="1">
      <alignment horizontal="center"/>
      <protection/>
    </xf>
    <xf numFmtId="0" fontId="82" fillId="0" borderId="0" xfId="61" applyFont="1" applyFill="1" applyBorder="1" applyAlignment="1" applyProtection="1">
      <alignment horizontal="center"/>
      <protection/>
    </xf>
    <xf numFmtId="0" fontId="78" fillId="0" borderId="0" xfId="61" applyFont="1" applyBorder="1" applyAlignment="1" applyProtection="1">
      <alignment horizontal="center" shrinkToFit="1"/>
      <protection/>
    </xf>
    <xf numFmtId="0" fontId="82" fillId="0" borderId="0" xfId="61" applyFont="1" applyFill="1" applyBorder="1" applyAlignment="1" applyProtection="1">
      <alignment horizontal="center" shrinkToFit="1"/>
      <protection/>
    </xf>
    <xf numFmtId="0" fontId="34" fillId="0" borderId="0" xfId="61" applyNumberFormat="1" applyFont="1" applyFill="1" applyBorder="1" applyAlignment="1" applyProtection="1">
      <alignment horizontal="center" vertical="center"/>
      <protection/>
    </xf>
    <xf numFmtId="0" fontId="82" fillId="0" borderId="0" xfId="61" applyFont="1" applyBorder="1" applyAlignment="1" applyProtection="1">
      <alignment horizontal="center" wrapText="1"/>
      <protection/>
    </xf>
    <xf numFmtId="0" fontId="82" fillId="0" borderId="0" xfId="61" applyFont="1" applyBorder="1" applyAlignment="1">
      <alignment horizontal="left"/>
      <protection/>
    </xf>
    <xf numFmtId="0" fontId="73" fillId="0" borderId="0" xfId="61" applyFont="1" applyBorder="1" applyAlignment="1">
      <alignment horizontal="left"/>
      <protection/>
    </xf>
    <xf numFmtId="0" fontId="71" fillId="0" borderId="0" xfId="61" applyFont="1" applyFill="1" applyBorder="1" applyAlignment="1" applyProtection="1">
      <alignment horizontal="center" vertical="center" shrinkToFit="1"/>
      <protection locked="0"/>
    </xf>
    <xf numFmtId="0" fontId="66" fillId="0" borderId="0" xfId="61" applyFont="1" applyFill="1" applyBorder="1" applyAlignment="1" applyProtection="1">
      <alignment horizontal="center" vertical="center" shrinkToFit="1"/>
      <protection/>
    </xf>
    <xf numFmtId="0" fontId="42" fillId="0" borderId="0" xfId="61" applyFont="1" applyFill="1" applyBorder="1" applyAlignment="1" applyProtection="1">
      <alignment vertical="center"/>
      <protection locked="0"/>
    </xf>
    <xf numFmtId="0" fontId="70" fillId="0" borderId="0" xfId="61" applyFont="1" applyFill="1" applyBorder="1" applyAlignment="1" applyProtection="1">
      <alignment horizontal="center" vertical="center" shrinkToFit="1"/>
      <protection locked="0"/>
    </xf>
    <xf numFmtId="0" fontId="92" fillId="0" borderId="0" xfId="61" applyFont="1" applyFill="1" applyBorder="1" applyAlignment="1">
      <alignment horizontal="center" vertical="center" shrinkToFit="1"/>
      <protection/>
    </xf>
    <xf numFmtId="0" fontId="93" fillId="0" borderId="0" xfId="61" applyFont="1" applyFill="1" applyBorder="1" applyAlignment="1" applyProtection="1">
      <alignment vertical="center"/>
      <protection locked="0"/>
    </xf>
    <xf numFmtId="0" fontId="93" fillId="0" borderId="0" xfId="61" applyFont="1" applyFill="1" applyBorder="1" applyAlignment="1">
      <alignment vertical="center"/>
      <protection/>
    </xf>
    <xf numFmtId="0" fontId="47" fillId="0" borderId="0" xfId="61" applyFont="1" applyFill="1" applyBorder="1" applyAlignment="1">
      <alignment horizontal="center" vertical="center"/>
      <protection/>
    </xf>
    <xf numFmtId="197" fontId="71" fillId="0" borderId="0" xfId="61" applyNumberFormat="1" applyFont="1" applyFill="1" applyBorder="1" applyAlignment="1">
      <alignment horizontal="center" vertical="center"/>
      <protection/>
    </xf>
    <xf numFmtId="0" fontId="47" fillId="0" borderId="0" xfId="61" applyFont="1" applyFill="1" applyBorder="1" applyAlignment="1" applyProtection="1">
      <alignment horizontal="right" vertical="center"/>
      <protection locked="0"/>
    </xf>
    <xf numFmtId="0" fontId="47" fillId="0" borderId="0" xfId="61" applyFont="1" applyFill="1" applyBorder="1" applyAlignment="1">
      <alignment horizontal="left" vertical="center"/>
      <protection/>
    </xf>
    <xf numFmtId="0" fontId="47" fillId="0" borderId="0" xfId="61" applyFont="1" applyFill="1" applyBorder="1" applyAlignment="1" applyProtection="1">
      <alignment horizontal="center" vertical="center"/>
      <protection locked="0"/>
    </xf>
    <xf numFmtId="0" fontId="44" fillId="0" borderId="0" xfId="61" applyFont="1" applyFill="1" applyBorder="1" applyAlignment="1" applyProtection="1">
      <alignment vertical="center"/>
      <protection locked="0"/>
    </xf>
    <xf numFmtId="0" fontId="47" fillId="0" borderId="0" xfId="61" applyFont="1" applyFill="1" applyBorder="1" applyAlignment="1" applyProtection="1">
      <alignment horizontal="center" vertical="center"/>
      <protection/>
    </xf>
    <xf numFmtId="0" fontId="0" fillId="0" borderId="0" xfId="61" applyFont="1" applyFill="1" applyBorder="1" applyAlignment="1">
      <alignment horizontal="center" vertical="center"/>
      <protection/>
    </xf>
    <xf numFmtId="0" fontId="75" fillId="0" borderId="0" xfId="61" applyFont="1" applyFill="1" applyBorder="1" applyAlignment="1" applyProtection="1">
      <alignment horizontal="center" vertical="center"/>
      <protection locked="0"/>
    </xf>
    <xf numFmtId="197" fontId="0" fillId="0" borderId="0" xfId="61" applyNumberFormat="1" applyFont="1" applyFill="1" applyBorder="1" applyAlignment="1">
      <alignment horizontal="center" vertical="center"/>
      <protection/>
    </xf>
    <xf numFmtId="0" fontId="47" fillId="0" borderId="0" xfId="61" applyFont="1" applyFill="1" applyBorder="1" applyAlignment="1">
      <alignment horizontal="center" vertical="center" wrapText="1"/>
      <protection/>
    </xf>
    <xf numFmtId="0" fontId="47" fillId="0" borderId="0" xfId="61" applyFont="1" applyFill="1" applyBorder="1" applyAlignment="1">
      <alignment horizontal="center" vertical="center" shrinkToFit="1"/>
      <protection/>
    </xf>
    <xf numFmtId="0" fontId="65" fillId="0" borderId="0" xfId="61" applyFont="1" applyFill="1" applyBorder="1" applyAlignment="1" applyProtection="1">
      <alignment horizontal="left" vertical="center" shrinkToFit="1"/>
      <protection/>
    </xf>
    <xf numFmtId="0" fontId="44" fillId="0" borderId="0" xfId="61" applyNumberFormat="1" applyFont="1" applyFill="1" applyBorder="1" applyAlignment="1" applyProtection="1">
      <alignment horizontal="center" vertical="center"/>
      <protection/>
    </xf>
    <xf numFmtId="0" fontId="44" fillId="0" borderId="0" xfId="61" applyFont="1" applyFill="1" applyBorder="1" applyAlignment="1">
      <alignment vertical="center"/>
      <protection/>
    </xf>
    <xf numFmtId="196" fontId="40" fillId="0" borderId="0" xfId="61" applyNumberFormat="1" applyFont="1" applyFill="1" applyBorder="1" applyAlignment="1" applyProtection="1">
      <alignment horizontal="center" vertical="center"/>
      <protection/>
    </xf>
    <xf numFmtId="196" fontId="34" fillId="0" borderId="0" xfId="61" applyNumberFormat="1" applyFont="1" applyFill="1" applyBorder="1" applyAlignment="1" applyProtection="1">
      <alignment horizontal="center" vertical="center"/>
      <protection/>
    </xf>
    <xf numFmtId="0" fontId="44" fillId="0" borderId="0" xfId="61" applyFont="1" applyFill="1" applyBorder="1" applyAlignment="1" applyProtection="1">
      <alignment horizontal="center" vertical="center"/>
      <protection/>
    </xf>
    <xf numFmtId="0" fontId="34" fillId="0" borderId="0" xfId="0" applyFont="1" applyFill="1" applyBorder="1" applyAlignment="1">
      <alignment horizontal="left" vertical="center" shrinkToFit="1"/>
    </xf>
    <xf numFmtId="0" fontId="34" fillId="0" borderId="0" xfId="61" applyFont="1" applyFill="1" applyBorder="1" applyAlignment="1" applyProtection="1">
      <alignment horizontal="left" vertical="center" shrinkToFit="1"/>
      <protection/>
    </xf>
    <xf numFmtId="0" fontId="44" fillId="0" borderId="0" xfId="61" applyFont="1" applyFill="1" applyBorder="1" applyAlignment="1" applyProtection="1">
      <alignment vertical="center"/>
      <protection/>
    </xf>
    <xf numFmtId="0" fontId="72" fillId="0" borderId="0" xfId="61" applyFont="1" applyFill="1" applyBorder="1" applyAlignment="1" applyProtection="1">
      <alignment horizontal="center" vertical="center"/>
      <protection/>
    </xf>
    <xf numFmtId="0" fontId="48" fillId="0" borderId="0" xfId="61" applyFont="1" applyFill="1" applyBorder="1" applyAlignment="1" applyProtection="1">
      <alignment horizontal="center" vertical="center"/>
      <protection/>
    </xf>
    <xf numFmtId="196" fontId="72" fillId="0" borderId="0" xfId="61" applyNumberFormat="1" applyFont="1" applyFill="1" applyBorder="1" applyAlignment="1" applyProtection="1">
      <alignment horizontal="center" vertical="center"/>
      <protection locked="0"/>
    </xf>
    <xf numFmtId="9" fontId="72" fillId="0" borderId="0" xfId="42" applyFont="1" applyFill="1" applyBorder="1" applyAlignment="1" applyProtection="1">
      <alignment horizontal="center" vertical="center"/>
      <protection locked="0"/>
    </xf>
    <xf numFmtId="197" fontId="72" fillId="0" borderId="0" xfId="61" applyNumberFormat="1" applyFont="1" applyFill="1" applyBorder="1" applyAlignment="1" applyProtection="1">
      <alignment horizontal="center" vertical="center"/>
      <protection/>
    </xf>
    <xf numFmtId="0" fontId="0" fillId="0" borderId="0" xfId="61" applyFill="1" applyBorder="1" applyAlignment="1">
      <alignment horizontal="center" vertical="center"/>
      <protection/>
    </xf>
    <xf numFmtId="0" fontId="72" fillId="0" borderId="0" xfId="61" applyFont="1" applyFill="1" applyBorder="1" applyAlignment="1" applyProtection="1">
      <alignment horizontal="center" vertical="center"/>
      <protection locked="0"/>
    </xf>
    <xf numFmtId="0" fontId="99" fillId="0" borderId="0" xfId="61" applyFont="1" applyBorder="1" applyAlignment="1" applyProtection="1">
      <alignment vertical="center"/>
      <protection/>
    </xf>
    <xf numFmtId="0" fontId="99" fillId="0" borderId="0" xfId="61" applyNumberFormat="1" applyFont="1" applyBorder="1" applyAlignment="1" applyProtection="1">
      <alignment vertical="center"/>
      <protection/>
    </xf>
    <xf numFmtId="0" fontId="99" fillId="0" borderId="0" xfId="61" applyFont="1" applyAlignment="1">
      <alignment vertical="center"/>
      <protection/>
    </xf>
    <xf numFmtId="196" fontId="99" fillId="0" borderId="0" xfId="61" applyNumberFormat="1" applyFont="1" applyBorder="1" applyAlignment="1" applyProtection="1">
      <alignment vertical="center"/>
      <protection/>
    </xf>
    <xf numFmtId="0" fontId="99" fillId="0" borderId="0" xfId="61" applyNumberFormat="1" applyFont="1" applyFill="1" applyBorder="1" applyAlignment="1" applyProtection="1">
      <alignment vertical="center"/>
      <protection/>
    </xf>
    <xf numFmtId="0" fontId="99" fillId="0" borderId="0" xfId="0" applyFont="1" applyBorder="1" applyAlignment="1">
      <alignment vertical="center"/>
    </xf>
    <xf numFmtId="0" fontId="99" fillId="0" borderId="0" xfId="61" applyFont="1" applyFill="1" applyBorder="1" applyAlignment="1" applyProtection="1">
      <alignment vertical="center"/>
      <protection/>
    </xf>
    <xf numFmtId="0" fontId="99" fillId="0" borderId="0" xfId="61" applyFont="1" applyFill="1" applyBorder="1" applyAlignment="1">
      <alignment vertical="center"/>
      <protection/>
    </xf>
    <xf numFmtId="196" fontId="99" fillId="0" borderId="0" xfId="61" applyNumberFormat="1" applyFont="1" applyFill="1" applyBorder="1" applyAlignment="1" applyProtection="1">
      <alignment vertical="center"/>
      <protection/>
    </xf>
    <xf numFmtId="0" fontId="99" fillId="0" borderId="0" xfId="0" applyFont="1" applyFill="1" applyBorder="1" applyAlignment="1">
      <alignment vertical="center"/>
    </xf>
    <xf numFmtId="0" fontId="39" fillId="0" borderId="0" xfId="61" applyFont="1" applyAlignment="1">
      <alignment vertical="center"/>
      <protection/>
    </xf>
    <xf numFmtId="0" fontId="39" fillId="0" borderId="0" xfId="61" applyFont="1" applyBorder="1" applyAlignment="1" applyProtection="1">
      <alignment horizontal="center" vertical="center"/>
      <protection/>
    </xf>
    <xf numFmtId="0" fontId="39" fillId="0" borderId="0" xfId="61" applyFont="1" applyBorder="1" applyAlignment="1" applyProtection="1">
      <alignment horizontal="center" vertical="center" wrapText="1"/>
      <protection/>
    </xf>
    <xf numFmtId="0" fontId="39" fillId="0" borderId="0" xfId="61" applyFont="1" applyAlignment="1" applyProtection="1">
      <alignment vertical="center"/>
      <protection/>
    </xf>
    <xf numFmtId="0" fontId="39" fillId="0" borderId="0" xfId="61" applyFont="1" applyBorder="1" applyAlignment="1" applyProtection="1">
      <alignment vertical="center"/>
      <protection/>
    </xf>
    <xf numFmtId="0" fontId="104" fillId="0" borderId="0" xfId="61" applyFont="1" applyAlignment="1" applyProtection="1">
      <alignment vertical="center"/>
      <protection/>
    </xf>
    <xf numFmtId="0" fontId="105" fillId="0" borderId="0" xfId="61" applyFont="1" applyBorder="1" applyAlignment="1" applyProtection="1">
      <alignment horizontal="center" vertical="center" shrinkToFit="1"/>
      <protection/>
    </xf>
    <xf numFmtId="0" fontId="106" fillId="0" borderId="0" xfId="61" applyFont="1" applyAlignment="1" applyProtection="1">
      <alignment vertical="center" shrinkToFit="1"/>
      <protection/>
    </xf>
    <xf numFmtId="0" fontId="105" fillId="0" borderId="0" xfId="61" applyFont="1" applyAlignment="1" applyProtection="1">
      <alignment vertical="center" shrinkToFit="1"/>
      <protection/>
    </xf>
    <xf numFmtId="0" fontId="105" fillId="0" borderId="0" xfId="61" applyFont="1" applyBorder="1" applyAlignment="1" applyProtection="1">
      <alignment vertical="center" shrinkToFit="1"/>
      <protection/>
    </xf>
    <xf numFmtId="0" fontId="101" fillId="0" borderId="0" xfId="61" applyFont="1" applyAlignment="1">
      <alignment vertical="center"/>
      <protection/>
    </xf>
    <xf numFmtId="0" fontId="109" fillId="0" borderId="0" xfId="61" applyFont="1" applyAlignment="1">
      <alignment vertical="center"/>
      <protection/>
    </xf>
    <xf numFmtId="0" fontId="110" fillId="0" borderId="0" xfId="61" applyFont="1" applyAlignment="1">
      <alignment vertical="center"/>
      <protection/>
    </xf>
    <xf numFmtId="0" fontId="110" fillId="0" borderId="0" xfId="61" applyFont="1" applyAlignment="1">
      <alignment/>
      <protection/>
    </xf>
    <xf numFmtId="0" fontId="39" fillId="0" borderId="72" xfId="61" applyFont="1" applyBorder="1" applyAlignment="1">
      <alignment horizontal="center" vertical="center"/>
      <protection/>
    </xf>
    <xf numFmtId="0" fontId="112" fillId="0" borderId="0" xfId="61" applyFont="1" applyAlignment="1" applyProtection="1">
      <alignment vertical="center"/>
      <protection/>
    </xf>
    <xf numFmtId="0" fontId="111" fillId="0" borderId="0" xfId="61" applyFont="1" applyFill="1" applyBorder="1" applyAlignment="1" applyProtection="1">
      <alignment horizontal="center" vertical="center"/>
      <protection locked="0"/>
    </xf>
    <xf numFmtId="0" fontId="101" fillId="0" borderId="0" xfId="0" applyFont="1" applyAlignment="1">
      <alignment vertical="center"/>
    </xf>
    <xf numFmtId="0" fontId="39" fillId="0" borderId="0" xfId="61" applyFont="1" applyBorder="1" applyAlignment="1" applyProtection="1">
      <alignment horizontal="left" vertical="center"/>
      <protection/>
    </xf>
    <xf numFmtId="0" fontId="112" fillId="0" borderId="0" xfId="61" applyFont="1" applyBorder="1" applyAlignment="1" applyProtection="1">
      <alignment horizontal="left" vertical="center"/>
      <protection/>
    </xf>
    <xf numFmtId="0" fontId="112" fillId="0" borderId="0" xfId="61" applyFont="1" applyBorder="1" applyAlignment="1" applyProtection="1">
      <alignment horizontal="center" vertical="center"/>
      <protection/>
    </xf>
    <xf numFmtId="0" fontId="103" fillId="0" borderId="0" xfId="61" applyFont="1" applyBorder="1" applyAlignment="1" applyProtection="1">
      <alignment horizontal="center" vertical="center"/>
      <protection/>
    </xf>
    <xf numFmtId="0" fontId="39" fillId="0" borderId="0" xfId="61" applyFont="1" applyFill="1" applyBorder="1" applyAlignment="1" applyProtection="1">
      <alignment horizontal="center" vertical="center"/>
      <protection/>
    </xf>
    <xf numFmtId="0" fontId="39" fillId="0" borderId="0" xfId="61" applyFont="1" applyAlignment="1" applyProtection="1">
      <alignment vertical="center" wrapText="1"/>
      <protection/>
    </xf>
    <xf numFmtId="0" fontId="39" fillId="0" borderId="0" xfId="61" applyFont="1" applyAlignment="1" applyProtection="1">
      <alignment horizontal="center" vertical="center"/>
      <protection/>
    </xf>
    <xf numFmtId="0" fontId="100" fillId="0" borderId="0" xfId="61" applyFont="1" applyAlignment="1" applyProtection="1">
      <alignment vertical="center"/>
      <protection/>
    </xf>
    <xf numFmtId="0" fontId="100" fillId="0" borderId="0" xfId="61" applyFont="1" applyAlignment="1">
      <alignment vertical="center"/>
      <protection/>
    </xf>
    <xf numFmtId="0" fontId="39" fillId="0" borderId="0" xfId="61" applyFont="1" applyAlignment="1" applyProtection="1">
      <alignment/>
      <protection/>
    </xf>
    <xf numFmtId="0" fontId="100" fillId="0" borderId="0" xfId="61" applyFont="1" applyBorder="1" applyAlignment="1" applyProtection="1">
      <alignment vertical="center"/>
      <protection/>
    </xf>
    <xf numFmtId="0" fontId="39" fillId="0" borderId="0" xfId="61" applyFont="1" applyAlignment="1">
      <alignment horizontal="center" vertical="center"/>
      <protection/>
    </xf>
    <xf numFmtId="0" fontId="100" fillId="0" borderId="0" xfId="61" applyFont="1" applyFill="1" applyBorder="1" applyAlignment="1" applyProtection="1">
      <alignment vertical="center"/>
      <protection/>
    </xf>
    <xf numFmtId="0" fontId="104" fillId="0" borderId="0" xfId="61" applyFont="1" applyAlignment="1" applyProtection="1">
      <alignment horizontal="center" vertical="center"/>
      <protection/>
    </xf>
    <xf numFmtId="196" fontId="117" fillId="0" borderId="0" xfId="61" applyNumberFormat="1" applyFont="1" applyAlignment="1" applyProtection="1">
      <alignment vertical="center"/>
      <protection/>
    </xf>
    <xf numFmtId="0" fontId="117" fillId="0" borderId="0" xfId="61" applyFont="1" applyAlignment="1" applyProtection="1">
      <alignment vertical="center"/>
      <protection/>
    </xf>
    <xf numFmtId="0" fontId="118" fillId="0" borderId="0" xfId="61" applyFont="1" applyAlignment="1" applyProtection="1">
      <alignment vertical="center"/>
      <protection/>
    </xf>
    <xf numFmtId="0" fontId="112" fillId="0" borderId="0" xfId="61" applyFont="1" applyAlignment="1">
      <alignment vertical="center"/>
      <protection/>
    </xf>
    <xf numFmtId="0" fontId="39" fillId="0" borderId="0" xfId="61" applyFont="1" applyBorder="1" applyAlignment="1">
      <alignment vertical="center"/>
      <protection/>
    </xf>
    <xf numFmtId="0" fontId="101" fillId="0" borderId="0" xfId="61" applyFont="1" applyBorder="1" applyAlignment="1">
      <alignment vertical="center"/>
      <protection/>
    </xf>
    <xf numFmtId="0" fontId="39" fillId="0" borderId="16" xfId="61" applyFont="1" applyBorder="1" applyAlignment="1" applyProtection="1">
      <alignment vertical="center"/>
      <protection/>
    </xf>
    <xf numFmtId="0" fontId="101" fillId="0" borderId="73" xfId="61" applyFont="1" applyBorder="1" applyAlignment="1">
      <alignment vertical="center"/>
      <protection/>
    </xf>
    <xf numFmtId="0" fontId="101" fillId="0" borderId="16" xfId="61" applyFont="1" applyBorder="1" applyAlignment="1">
      <alignment vertical="center"/>
      <protection/>
    </xf>
    <xf numFmtId="0" fontId="103" fillId="0" borderId="16" xfId="61" applyFont="1" applyBorder="1" applyAlignment="1" applyProtection="1">
      <alignment vertical="center"/>
      <protection/>
    </xf>
    <xf numFmtId="0" fontId="112" fillId="0" borderId="73" xfId="61" applyFont="1" applyBorder="1" applyAlignment="1" applyProtection="1">
      <alignment horizontal="center" vertical="center"/>
      <protection/>
    </xf>
    <xf numFmtId="0" fontId="112" fillId="0" borderId="16" xfId="61" applyFont="1" applyBorder="1" applyAlignment="1" applyProtection="1">
      <alignment horizontal="center" vertical="center"/>
      <protection/>
    </xf>
    <xf numFmtId="0" fontId="112" fillId="0" borderId="16" xfId="61" applyFont="1" applyBorder="1" applyAlignment="1" applyProtection="1">
      <alignment horizontal="left" vertical="center"/>
      <protection/>
    </xf>
    <xf numFmtId="0" fontId="39" fillId="0" borderId="16" xfId="61" applyFont="1" applyBorder="1" applyAlignment="1" applyProtection="1">
      <alignment horizontal="center" vertical="center"/>
      <protection/>
    </xf>
    <xf numFmtId="0" fontId="39" fillId="0" borderId="16" xfId="61" applyFont="1" applyBorder="1" applyAlignment="1">
      <alignment vertical="center"/>
      <protection/>
    </xf>
    <xf numFmtId="0" fontId="118" fillId="0" borderId="73" xfId="61" applyFont="1" applyBorder="1" applyAlignment="1" applyProtection="1">
      <alignment horizontal="center" vertical="center"/>
      <protection/>
    </xf>
    <xf numFmtId="0" fontId="118" fillId="0" borderId="16" xfId="61" applyFont="1" applyBorder="1" applyAlignment="1" applyProtection="1">
      <alignment horizontal="center" vertical="center"/>
      <protection/>
    </xf>
    <xf numFmtId="0" fontId="118" fillId="0" borderId="16" xfId="61" applyFont="1" applyBorder="1" applyAlignment="1" applyProtection="1">
      <alignment horizontal="left" vertical="center"/>
      <protection/>
    </xf>
    <xf numFmtId="0" fontId="104" fillId="0" borderId="16" xfId="61" applyFont="1" applyBorder="1" applyAlignment="1">
      <alignment vertical="center"/>
      <protection/>
    </xf>
    <xf numFmtId="0" fontId="104" fillId="0" borderId="16" xfId="61" applyFont="1" applyBorder="1" applyAlignment="1" applyProtection="1">
      <alignment horizontal="center" vertical="center"/>
      <protection/>
    </xf>
    <xf numFmtId="0" fontId="104" fillId="0" borderId="16" xfId="61" applyFont="1" applyBorder="1" applyAlignment="1" applyProtection="1">
      <alignment vertical="center"/>
      <protection/>
    </xf>
    <xf numFmtId="0" fontId="109" fillId="0" borderId="0" xfId="61" applyFont="1" applyAlignment="1">
      <alignment/>
      <protection/>
    </xf>
    <xf numFmtId="0" fontId="101" fillId="0" borderId="0" xfId="61" applyFont="1" applyAlignment="1">
      <alignment/>
      <protection/>
    </xf>
    <xf numFmtId="0" fontId="100" fillId="0" borderId="0" xfId="61" applyFont="1" applyAlignment="1" applyProtection="1">
      <alignment horizontal="center"/>
      <protection/>
    </xf>
    <xf numFmtId="0" fontId="100" fillId="0" borderId="0" xfId="61" applyFont="1" applyBorder="1" applyAlignment="1" applyProtection="1">
      <alignment horizontal="center"/>
      <protection/>
    </xf>
    <xf numFmtId="0" fontId="119" fillId="0" borderId="0" xfId="61" applyFont="1" applyAlignment="1">
      <alignment/>
      <protection/>
    </xf>
    <xf numFmtId="0" fontId="108" fillId="0" borderId="0" xfId="61" applyFont="1" applyBorder="1" applyAlignment="1" applyProtection="1">
      <alignment/>
      <protection locked="0"/>
    </xf>
    <xf numFmtId="0" fontId="119" fillId="0" borderId="0" xfId="61" applyFont="1" applyAlignment="1">
      <alignment horizontal="left"/>
      <protection/>
    </xf>
    <xf numFmtId="0" fontId="39" fillId="0" borderId="0" xfId="61" applyFont="1" applyBorder="1" applyAlignment="1" applyProtection="1">
      <alignment/>
      <protection locked="0"/>
    </xf>
    <xf numFmtId="0" fontId="122" fillId="0" borderId="0" xfId="61" applyFont="1" applyBorder="1" applyAlignment="1" applyProtection="1">
      <alignment horizontal="center"/>
      <protection/>
    </xf>
    <xf numFmtId="0" fontId="122" fillId="0" borderId="0" xfId="61" applyFont="1" applyAlignment="1" applyProtection="1">
      <alignment horizontal="center"/>
      <protection/>
    </xf>
    <xf numFmtId="0" fontId="119" fillId="0" borderId="0" xfId="61" applyFont="1" applyAlignment="1">
      <alignment vertical="center"/>
      <protection/>
    </xf>
    <xf numFmtId="0" fontId="109" fillId="0" borderId="0" xfId="61" applyFont="1" applyFill="1" applyBorder="1" applyAlignment="1">
      <alignment/>
      <protection/>
    </xf>
    <xf numFmtId="0" fontId="39" fillId="0" borderId="0" xfId="61" applyFont="1" applyBorder="1" applyAlignment="1">
      <alignment horizontal="center"/>
      <protection/>
    </xf>
    <xf numFmtId="0" fontId="100" fillId="0" borderId="0" xfId="61" applyFont="1" applyAlignment="1">
      <alignment horizontal="center"/>
      <protection/>
    </xf>
    <xf numFmtId="0" fontId="109" fillId="0" borderId="0" xfId="61" applyFont="1" applyFill="1" applyBorder="1" applyAlignment="1" applyProtection="1">
      <alignment horizontal="center" shrinkToFit="1"/>
      <protection locked="0"/>
    </xf>
    <xf numFmtId="0" fontId="100" fillId="0" borderId="0" xfId="61" applyFont="1" applyBorder="1" applyAlignment="1" applyProtection="1">
      <alignment horizontal="center"/>
      <protection locked="0"/>
    </xf>
    <xf numFmtId="0" fontId="101" fillId="0" borderId="0" xfId="61" applyFont="1" applyFill="1" applyBorder="1" applyAlignment="1">
      <alignment/>
      <protection/>
    </xf>
    <xf numFmtId="0" fontId="101" fillId="0" borderId="0" xfId="61" applyFont="1" applyAlignment="1">
      <alignment horizontal="left"/>
      <protection/>
    </xf>
    <xf numFmtId="0" fontId="113" fillId="0" borderId="16" xfId="61" applyFont="1" applyBorder="1" applyAlignment="1" applyProtection="1">
      <alignment horizontal="left" vertical="center" shrinkToFit="1"/>
      <protection locked="0"/>
    </xf>
    <xf numFmtId="0" fontId="39" fillId="0" borderId="0" xfId="61" applyFont="1" applyBorder="1" applyAlignment="1" applyProtection="1">
      <alignment vertical="center" shrinkToFit="1"/>
      <protection locked="0"/>
    </xf>
    <xf numFmtId="0" fontId="39" fillId="0" borderId="0" xfId="61" applyFont="1" applyFill="1" applyBorder="1" applyAlignment="1" applyProtection="1">
      <alignment vertical="center" shrinkToFit="1"/>
      <protection locked="0"/>
    </xf>
    <xf numFmtId="0" fontId="113" fillId="0" borderId="18" xfId="61" applyFont="1" applyBorder="1" applyAlignment="1" applyProtection="1">
      <alignment horizontal="left" vertical="center" shrinkToFit="1"/>
      <protection locked="0"/>
    </xf>
    <xf numFmtId="0" fontId="124" fillId="0" borderId="0" xfId="61" applyFont="1" applyAlignment="1">
      <alignment vertical="center"/>
      <protection/>
    </xf>
    <xf numFmtId="0" fontId="101" fillId="0" borderId="11" xfId="0" applyFont="1" applyFill="1" applyBorder="1" applyAlignment="1">
      <alignment vertical="center"/>
    </xf>
    <xf numFmtId="0" fontId="101" fillId="0" borderId="0" xfId="0" applyFont="1" applyFill="1" applyAlignment="1">
      <alignment vertical="center"/>
    </xf>
    <xf numFmtId="0" fontId="39" fillId="0" borderId="16" xfId="61" applyFont="1" applyBorder="1" applyAlignment="1" applyProtection="1">
      <alignment horizontal="left" vertical="center" shrinkToFit="1"/>
      <protection locked="0"/>
    </xf>
    <xf numFmtId="0" fontId="39" fillId="0" borderId="0" xfId="61" applyFont="1" applyBorder="1" applyAlignment="1" applyProtection="1">
      <alignment horizontal="left" vertical="center" shrinkToFit="1"/>
      <protection locked="0"/>
    </xf>
    <xf numFmtId="0" fontId="105" fillId="0" borderId="0" xfId="61" applyFont="1" applyBorder="1" applyAlignment="1" applyProtection="1">
      <alignment horizontal="center" vertical="center"/>
      <protection/>
    </xf>
    <xf numFmtId="0" fontId="100" fillId="0" borderId="0" xfId="61" applyFont="1" applyFill="1" applyBorder="1" applyAlignment="1" applyProtection="1">
      <alignment horizontal="center" vertical="center"/>
      <protection/>
    </xf>
    <xf numFmtId="0" fontId="100" fillId="0" borderId="0" xfId="61" applyFont="1" applyFill="1" applyBorder="1" applyAlignment="1" applyProtection="1">
      <alignment horizontal="center"/>
      <protection/>
    </xf>
    <xf numFmtId="0" fontId="104" fillId="0" borderId="0" xfId="61" applyFont="1" applyBorder="1" applyAlignment="1" applyProtection="1">
      <alignment vertical="center"/>
      <protection/>
    </xf>
    <xf numFmtId="0" fontId="100" fillId="0" borderId="0" xfId="61" applyFont="1" applyFill="1" applyBorder="1" applyAlignment="1" applyProtection="1">
      <alignment horizontal="center" shrinkToFit="1"/>
      <protection/>
    </xf>
    <xf numFmtId="0" fontId="103" fillId="0" borderId="0" xfId="61" applyFont="1" applyAlignment="1" applyProtection="1">
      <alignment vertical="center"/>
      <protection/>
    </xf>
    <xf numFmtId="0" fontId="103" fillId="0" borderId="0" xfId="61" applyFont="1" applyAlignment="1">
      <alignment vertical="center"/>
      <protection/>
    </xf>
    <xf numFmtId="188" fontId="4" fillId="41" borderId="34" xfId="0" applyNumberFormat="1" applyFont="1" applyFill="1" applyBorder="1" applyAlignment="1" applyProtection="1">
      <alignment horizontal="center" vertical="center"/>
      <protection locked="0"/>
    </xf>
    <xf numFmtId="9" fontId="4" fillId="41" borderId="34" xfId="0" applyNumberFormat="1" applyFont="1" applyFill="1" applyBorder="1" applyAlignment="1" applyProtection="1">
      <alignment horizontal="center" vertical="center"/>
      <protection locked="0"/>
    </xf>
    <xf numFmtId="0" fontId="4" fillId="0" borderId="74" xfId="0" applyFont="1" applyFill="1" applyBorder="1" applyAlignment="1" applyProtection="1">
      <alignment horizontal="left" vertical="center"/>
      <protection locked="0"/>
    </xf>
    <xf numFmtId="0" fontId="39" fillId="0" borderId="50" xfId="61" applyFont="1" applyBorder="1" applyAlignment="1">
      <alignment vertical="center"/>
      <protection/>
    </xf>
    <xf numFmtId="0" fontId="4" fillId="48" borderId="0" xfId="0" applyFont="1" applyFill="1" applyAlignment="1">
      <alignment horizontal="center" vertical="center"/>
    </xf>
    <xf numFmtId="0" fontId="0" fillId="0" borderId="0" xfId="0" applyAlignment="1">
      <alignment/>
    </xf>
    <xf numFmtId="0" fontId="4" fillId="41" borderId="21" xfId="0" applyFont="1" applyFill="1" applyBorder="1" applyAlignment="1" applyProtection="1">
      <alignment horizontal="center" vertical="center"/>
      <protection/>
    </xf>
    <xf numFmtId="0" fontId="4" fillId="49" borderId="30" xfId="0" applyFont="1" applyFill="1" applyBorder="1" applyAlignment="1">
      <alignment horizontal="center" vertical="center"/>
    </xf>
    <xf numFmtId="0" fontId="39" fillId="0" borderId="0" xfId="61" applyFont="1" applyBorder="1" applyAlignment="1">
      <alignment horizontal="center" vertical="center"/>
      <protection/>
    </xf>
    <xf numFmtId="188" fontId="4" fillId="0" borderId="0" xfId="0" applyNumberFormat="1" applyFont="1" applyBorder="1" applyAlignment="1" applyProtection="1">
      <alignment horizontal="left" vertical="center"/>
      <protection/>
    </xf>
    <xf numFmtId="188" fontId="4" fillId="0" borderId="11" xfId="0" applyNumberFormat="1" applyFont="1" applyBorder="1" applyAlignment="1" applyProtection="1">
      <alignment horizontal="left" vertical="center"/>
      <protection/>
    </xf>
    <xf numFmtId="0" fontId="4" fillId="0" borderId="19" xfId="0" applyFont="1" applyBorder="1" applyAlignment="1" applyProtection="1">
      <alignment vertical="center"/>
      <protection/>
    </xf>
    <xf numFmtId="0" fontId="4" fillId="0" borderId="13" xfId="0" applyFont="1" applyBorder="1" applyAlignment="1" applyProtection="1">
      <alignment vertical="center"/>
      <protection/>
    </xf>
    <xf numFmtId="0" fontId="2" fillId="43" borderId="20" xfId="0" applyFont="1" applyFill="1" applyBorder="1" applyAlignment="1" applyProtection="1">
      <alignment horizontal="center" vertical="center" shrinkToFit="1"/>
      <protection/>
    </xf>
    <xf numFmtId="0" fontId="0" fillId="0" borderId="0" xfId="61" applyFont="1" applyAlignment="1">
      <alignment vertical="center"/>
      <protection/>
    </xf>
    <xf numFmtId="196" fontId="39" fillId="0" borderId="0" xfId="61" applyNumberFormat="1" applyFont="1" applyBorder="1" applyAlignment="1">
      <alignment horizontal="center" vertical="center"/>
      <protection/>
    </xf>
    <xf numFmtId="0" fontId="39" fillId="0" borderId="46" xfId="61" applyFont="1" applyBorder="1" applyAlignment="1">
      <alignment horizontal="center" vertical="center"/>
      <protection/>
    </xf>
    <xf numFmtId="0" fontId="6" fillId="0" borderId="46" xfId="0" applyFont="1" applyBorder="1" applyAlignment="1">
      <alignment vertical="center"/>
    </xf>
    <xf numFmtId="0" fontId="104" fillId="0" borderId="0" xfId="61" applyFont="1" applyAlignment="1">
      <alignment horizontal="center" vertical="center"/>
      <protection/>
    </xf>
    <xf numFmtId="0" fontId="6" fillId="0" borderId="75" xfId="0" applyFont="1" applyBorder="1" applyAlignment="1">
      <alignment vertical="center"/>
    </xf>
    <xf numFmtId="0" fontId="11" fillId="0" borderId="0" xfId="61" applyFont="1" applyBorder="1" applyAlignment="1">
      <alignment vertical="center"/>
      <protection/>
    </xf>
    <xf numFmtId="0" fontId="0" fillId="0" borderId="76" xfId="0" applyBorder="1" applyAlignment="1">
      <alignment vertical="center"/>
    </xf>
    <xf numFmtId="0" fontId="119" fillId="0" borderId="0" xfId="61" applyFont="1" applyBorder="1" applyAlignment="1" applyProtection="1">
      <alignment horizontal="center" vertical="center"/>
      <protection/>
    </xf>
    <xf numFmtId="0" fontId="99" fillId="0" borderId="0" xfId="61" applyNumberFormat="1" applyFont="1" applyBorder="1" applyAlignment="1" applyProtection="1">
      <alignment horizontal="left" vertical="center" shrinkToFit="1"/>
      <protection/>
    </xf>
    <xf numFmtId="0" fontId="99" fillId="0" borderId="0" xfId="61" applyNumberFormat="1" applyFont="1" applyAlignment="1">
      <alignment horizontal="left" vertical="center"/>
      <protection/>
    </xf>
    <xf numFmtId="0" fontId="99" fillId="0" borderId="0" xfId="61" applyNumberFormat="1" applyFont="1" applyBorder="1" applyAlignment="1" applyProtection="1">
      <alignment horizontal="left" vertical="center"/>
      <protection/>
    </xf>
    <xf numFmtId="0" fontId="99" fillId="0" borderId="0" xfId="61" applyNumberFormat="1" applyFont="1" applyFill="1" applyBorder="1" applyAlignment="1" applyProtection="1">
      <alignment horizontal="left" vertical="center"/>
      <protection/>
    </xf>
    <xf numFmtId="0" fontId="99" fillId="0" borderId="0" xfId="0" applyNumberFormat="1" applyFont="1" applyBorder="1" applyAlignment="1">
      <alignment horizontal="left" vertical="center" shrinkToFit="1"/>
    </xf>
    <xf numFmtId="0" fontId="99" fillId="0" borderId="0" xfId="61" applyNumberFormat="1" applyFont="1" applyBorder="1" applyAlignment="1">
      <alignment horizontal="left" vertical="center"/>
      <protection/>
    </xf>
    <xf numFmtId="49" fontId="2" fillId="43" borderId="21" xfId="0" applyNumberFormat="1" applyFont="1" applyFill="1" applyBorder="1" applyAlignment="1" applyProtection="1">
      <alignment horizontal="center" vertical="center" shrinkToFit="1"/>
      <protection/>
    </xf>
    <xf numFmtId="0" fontId="4" fillId="0" borderId="0" xfId="0" applyFont="1" applyAlignment="1">
      <alignment horizontal="right"/>
    </xf>
    <xf numFmtId="0" fontId="25" fillId="0" borderId="10" xfId="0" applyFont="1" applyBorder="1" applyAlignment="1">
      <alignment vertical="center" wrapText="1"/>
    </xf>
    <xf numFmtId="0" fontId="25" fillId="0" borderId="12" xfId="0" applyFont="1" applyBorder="1" applyAlignment="1">
      <alignment vertical="center" wrapText="1"/>
    </xf>
    <xf numFmtId="0" fontId="25" fillId="0" borderId="15" xfId="0" applyFont="1" applyBorder="1" applyAlignment="1">
      <alignment vertical="center" wrapText="1"/>
    </xf>
    <xf numFmtId="0" fontId="2" fillId="0" borderId="10" xfId="0" applyFont="1" applyBorder="1" applyAlignment="1">
      <alignment vertical="top" wrapText="1"/>
    </xf>
    <xf numFmtId="0" fontId="2" fillId="0" borderId="11" xfId="0" applyFont="1" applyBorder="1" applyAlignment="1">
      <alignment vertical="top" wrapText="1"/>
    </xf>
    <xf numFmtId="0" fontId="2" fillId="0" borderId="12" xfId="0" applyFont="1" applyBorder="1" applyAlignment="1">
      <alignment vertical="top" wrapText="1"/>
    </xf>
    <xf numFmtId="0" fontId="2" fillId="0" borderId="0" xfId="0" applyFont="1" applyBorder="1" applyAlignment="1">
      <alignment vertical="top" wrapText="1"/>
    </xf>
    <xf numFmtId="0" fontId="2" fillId="0" borderId="15" xfId="0" applyFont="1" applyBorder="1" applyAlignment="1">
      <alignment vertical="top" wrapText="1"/>
    </xf>
    <xf numFmtId="0" fontId="2" fillId="0" borderId="16" xfId="0" applyFont="1" applyBorder="1" applyAlignment="1">
      <alignment vertical="top" wrapText="1"/>
    </xf>
    <xf numFmtId="0" fontId="7" fillId="47" borderId="10" xfId="0" applyFont="1" applyFill="1" applyBorder="1" applyAlignment="1" applyProtection="1">
      <alignment horizontal="center" vertical="center" wrapText="1"/>
      <protection/>
    </xf>
    <xf numFmtId="0" fontId="7" fillId="47" borderId="11" xfId="0" applyFont="1" applyFill="1" applyBorder="1" applyAlignment="1" applyProtection="1">
      <alignment horizontal="center" vertical="center" wrapText="1"/>
      <protection/>
    </xf>
    <xf numFmtId="0" fontId="0" fillId="0" borderId="19" xfId="0" applyBorder="1" applyAlignment="1">
      <alignment vertical="center"/>
    </xf>
    <xf numFmtId="0" fontId="7" fillId="47" borderId="15" xfId="0" applyFont="1" applyFill="1" applyBorder="1" applyAlignment="1" applyProtection="1">
      <alignment horizontal="center" vertical="center" wrapText="1"/>
      <protection/>
    </xf>
    <xf numFmtId="0" fontId="7" fillId="47" borderId="16" xfId="0" applyFont="1" applyFill="1" applyBorder="1" applyAlignment="1" applyProtection="1">
      <alignment horizontal="center" vertical="center" wrapText="1"/>
      <protection/>
    </xf>
    <xf numFmtId="0" fontId="0" fillId="0" borderId="17" xfId="0" applyBorder="1" applyAlignment="1">
      <alignment vertical="center"/>
    </xf>
    <xf numFmtId="0" fontId="4" fillId="34" borderId="21" xfId="0" applyFont="1" applyFill="1" applyBorder="1" applyAlignment="1" applyProtection="1">
      <alignment horizontal="center" vertical="center"/>
      <protection/>
    </xf>
    <xf numFmtId="0" fontId="2" fillId="41" borderId="21" xfId="0" applyFont="1" applyFill="1" applyBorder="1" applyAlignment="1" applyProtection="1">
      <alignment horizontal="center" vertical="center"/>
      <protection/>
    </xf>
    <xf numFmtId="0" fontId="4" fillId="33" borderId="18" xfId="0" applyFont="1" applyFill="1" applyBorder="1" applyAlignment="1" applyProtection="1">
      <alignment horizontal="left" vertical="center"/>
      <protection/>
    </xf>
    <xf numFmtId="0" fontId="4" fillId="47" borderId="77" xfId="0" applyFont="1" applyFill="1" applyBorder="1" applyAlignment="1" applyProtection="1">
      <alignment horizontal="left" vertical="center"/>
      <protection/>
    </xf>
    <xf numFmtId="0" fontId="2" fillId="33" borderId="21" xfId="62" applyFont="1" applyFill="1" applyBorder="1" applyAlignment="1" applyProtection="1">
      <alignment horizontal="left" vertical="center"/>
      <protection locked="0"/>
    </xf>
    <xf numFmtId="0" fontId="4" fillId="33" borderId="21" xfId="0" applyFont="1" applyFill="1" applyBorder="1" applyAlignment="1" applyProtection="1">
      <alignment horizontal="left" vertical="center"/>
      <protection/>
    </xf>
    <xf numFmtId="0" fontId="2" fillId="43" borderId="21" xfId="0" applyFont="1" applyFill="1" applyBorder="1" applyAlignment="1" applyProtection="1">
      <alignment horizontal="center" vertical="center"/>
      <protection/>
    </xf>
    <xf numFmtId="0" fontId="2" fillId="0" borderId="21" xfId="0" applyFont="1" applyBorder="1" applyAlignment="1" applyProtection="1">
      <alignment horizontal="center" vertical="center" shrinkToFit="1"/>
      <protection/>
    </xf>
    <xf numFmtId="0" fontId="2" fillId="33" borderId="14" xfId="0" applyFont="1" applyFill="1" applyBorder="1" applyAlignment="1" applyProtection="1">
      <alignment horizontal="left" vertical="center"/>
      <protection/>
    </xf>
    <xf numFmtId="0" fontId="2" fillId="33" borderId="18" xfId="0" applyFont="1" applyFill="1" applyBorder="1" applyAlignment="1" applyProtection="1">
      <alignment horizontal="left" vertical="center"/>
      <protection/>
    </xf>
    <xf numFmtId="0" fontId="2" fillId="33" borderId="77" xfId="0" applyFont="1" applyFill="1" applyBorder="1" applyAlignment="1" applyProtection="1">
      <alignment horizontal="left" vertical="center"/>
      <protection/>
    </xf>
    <xf numFmtId="0" fontId="2" fillId="33" borderId="21" xfId="0" applyFont="1" applyFill="1" applyBorder="1" applyAlignment="1" applyProtection="1">
      <alignment horizontal="left" vertical="center" shrinkToFit="1"/>
      <protection locked="0"/>
    </xf>
    <xf numFmtId="0" fontId="4" fillId="0" borderId="21" xfId="0" applyFont="1" applyBorder="1" applyAlignment="1" applyProtection="1">
      <alignment horizontal="center" vertical="center" shrinkToFit="1"/>
      <protection/>
    </xf>
    <xf numFmtId="0" fontId="2" fillId="41" borderId="14" xfId="0" applyFont="1" applyFill="1" applyBorder="1" applyAlignment="1" applyProtection="1">
      <alignment horizontal="left" vertical="center" shrinkToFit="1"/>
      <protection locked="0"/>
    </xf>
    <xf numFmtId="0" fontId="2" fillId="41" borderId="18" xfId="0" applyFont="1" applyFill="1" applyBorder="1" applyAlignment="1" applyProtection="1">
      <alignment horizontal="left" vertical="center" shrinkToFit="1"/>
      <protection locked="0"/>
    </xf>
    <xf numFmtId="0" fontId="2" fillId="41" borderId="77" xfId="0" applyFont="1" applyFill="1" applyBorder="1" applyAlignment="1" applyProtection="1">
      <alignment horizontal="left" vertical="center" shrinkToFit="1"/>
      <protection locked="0"/>
    </xf>
    <xf numFmtId="0" fontId="2" fillId="43" borderId="21" xfId="0" applyFont="1" applyFill="1" applyBorder="1" applyAlignment="1" applyProtection="1">
      <alignment horizontal="center" vertical="center"/>
      <protection locked="0"/>
    </xf>
    <xf numFmtId="0" fontId="2" fillId="33" borderId="14" xfId="0" applyFont="1" applyFill="1" applyBorder="1" applyAlignment="1" applyProtection="1">
      <alignment horizontal="center" vertical="center" shrinkToFit="1"/>
      <protection/>
    </xf>
    <xf numFmtId="0" fontId="2" fillId="33" borderId="18" xfId="0" applyFont="1" applyFill="1" applyBorder="1" applyAlignment="1" applyProtection="1">
      <alignment horizontal="center" vertical="center" shrinkToFit="1"/>
      <protection/>
    </xf>
    <xf numFmtId="0" fontId="2" fillId="33" borderId="77" xfId="0" applyFont="1" applyFill="1" applyBorder="1" applyAlignment="1" applyProtection="1">
      <alignment horizontal="center" vertical="center" shrinkToFit="1"/>
      <protection/>
    </xf>
    <xf numFmtId="0" fontId="4" fillId="0" borderId="21" xfId="0" applyFont="1" applyBorder="1" applyAlignment="1" applyProtection="1">
      <alignment horizontal="center" vertical="center"/>
      <protection/>
    </xf>
    <xf numFmtId="0" fontId="2" fillId="33" borderId="21" xfId="0" applyFont="1" applyFill="1" applyBorder="1" applyAlignment="1" applyProtection="1">
      <alignment horizontal="center" vertical="center" shrinkToFit="1"/>
      <protection locked="0"/>
    </xf>
    <xf numFmtId="0" fontId="4" fillId="41" borderId="14" xfId="0" applyFont="1" applyFill="1" applyBorder="1" applyAlignment="1" applyProtection="1">
      <alignment horizontal="center" vertical="center"/>
      <protection/>
    </xf>
    <xf numFmtId="0" fontId="4" fillId="41" borderId="18" xfId="0" applyFont="1" applyFill="1" applyBorder="1" applyAlignment="1" applyProtection="1">
      <alignment horizontal="center" vertical="center"/>
      <protection/>
    </xf>
    <xf numFmtId="0" fontId="2" fillId="41" borderId="68" xfId="0" applyFont="1" applyFill="1" applyBorder="1" applyAlignment="1" applyProtection="1">
      <alignment horizontal="center" vertical="center"/>
      <protection/>
    </xf>
    <xf numFmtId="0" fontId="2" fillId="41" borderId="31" xfId="0" applyFont="1" applyFill="1" applyBorder="1" applyAlignment="1" applyProtection="1">
      <alignment horizontal="center" vertical="center"/>
      <protection/>
    </xf>
    <xf numFmtId="0" fontId="2" fillId="41" borderId="78" xfId="0" applyFont="1" applyFill="1" applyBorder="1" applyAlignment="1" applyProtection="1">
      <alignment horizontal="center" vertical="center"/>
      <protection/>
    </xf>
    <xf numFmtId="0" fontId="2" fillId="41" borderId="79" xfId="0" applyFont="1" applyFill="1" applyBorder="1" applyAlignment="1" applyProtection="1">
      <alignment horizontal="center" vertical="center"/>
      <protection/>
    </xf>
    <xf numFmtId="0" fontId="2" fillId="41" borderId="14" xfId="0" applyFont="1" applyFill="1" applyBorder="1" applyAlignment="1" applyProtection="1">
      <alignment horizontal="center" vertical="center" shrinkToFit="1"/>
      <protection/>
    </xf>
    <xf numFmtId="0" fontId="2" fillId="41" borderId="77" xfId="0" applyFont="1" applyFill="1" applyBorder="1" applyAlignment="1" applyProtection="1">
      <alignment horizontal="center" vertical="center" shrinkToFit="1"/>
      <protection/>
    </xf>
    <xf numFmtId="0" fontId="6" fillId="0" borderId="0" xfId="0" applyFont="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41" borderId="80" xfId="0" applyFont="1" applyFill="1" applyBorder="1" applyAlignment="1" applyProtection="1">
      <alignment horizontal="center" vertical="center" shrinkToFit="1"/>
      <protection/>
    </xf>
    <xf numFmtId="0" fontId="2" fillId="41" borderId="50" xfId="0" applyFont="1" applyFill="1" applyBorder="1" applyAlignment="1" applyProtection="1">
      <alignment horizontal="center" vertical="center" shrinkToFit="1"/>
      <protection/>
    </xf>
    <xf numFmtId="0" fontId="2" fillId="41" borderId="81" xfId="0" applyFont="1" applyFill="1" applyBorder="1" applyAlignment="1" applyProtection="1">
      <alignment horizontal="center" vertical="center" shrinkToFit="1"/>
      <protection/>
    </xf>
    <xf numFmtId="0" fontId="5" fillId="41" borderId="15" xfId="0" applyFont="1" applyFill="1" applyBorder="1" applyAlignment="1" applyProtection="1">
      <alignment horizontal="center" vertical="center"/>
      <protection locked="0"/>
    </xf>
    <xf numFmtId="0" fontId="5" fillId="41" borderId="16" xfId="0" applyFont="1" applyFill="1" applyBorder="1" applyAlignment="1" applyProtection="1">
      <alignment horizontal="center" vertical="center"/>
      <protection locked="0"/>
    </xf>
    <xf numFmtId="0" fontId="5" fillId="41" borderId="17" xfId="0" applyFont="1" applyFill="1" applyBorder="1" applyAlignment="1" applyProtection="1">
      <alignment horizontal="center" vertical="center"/>
      <protection locked="0"/>
    </xf>
    <xf numFmtId="0" fontId="2" fillId="47" borderId="21" xfId="0" applyFont="1" applyFill="1" applyBorder="1" applyAlignment="1" applyProtection="1">
      <alignment horizontal="center" vertical="center"/>
      <protection/>
    </xf>
    <xf numFmtId="0" fontId="2" fillId="41" borderId="82" xfId="0" applyFont="1" applyFill="1" applyBorder="1" applyAlignment="1" applyProtection="1">
      <alignment horizontal="center" vertical="center"/>
      <protection/>
    </xf>
    <xf numFmtId="0" fontId="2" fillId="41" borderId="50" xfId="0" applyFont="1" applyFill="1" applyBorder="1" applyAlignment="1" applyProtection="1">
      <alignment horizontal="center" vertical="center"/>
      <protection/>
    </xf>
    <xf numFmtId="0" fontId="2" fillId="0" borderId="21" xfId="0" applyFont="1" applyFill="1" applyBorder="1" applyAlignment="1" applyProtection="1">
      <alignment horizontal="center" vertical="center"/>
      <protection/>
    </xf>
    <xf numFmtId="0" fontId="6" fillId="0" borderId="14" xfId="0" applyFont="1" applyBorder="1" applyAlignment="1" applyProtection="1">
      <alignment horizontal="center" vertical="center"/>
      <protection/>
    </xf>
    <xf numFmtId="0" fontId="6" fillId="0" borderId="18" xfId="0" applyFont="1" applyBorder="1" applyAlignment="1" applyProtection="1">
      <alignment horizontal="center" vertical="center"/>
      <protection/>
    </xf>
    <xf numFmtId="0" fontId="6" fillId="0" borderId="77" xfId="0" applyFont="1" applyBorder="1" applyAlignment="1" applyProtection="1">
      <alignment horizontal="center" vertical="center"/>
      <protection/>
    </xf>
    <xf numFmtId="0" fontId="2" fillId="47" borderId="21" xfId="0" applyFont="1" applyFill="1" applyBorder="1" applyAlignment="1" applyProtection="1">
      <alignment horizontal="center" vertical="center" shrinkToFit="1"/>
      <protection/>
    </xf>
    <xf numFmtId="0" fontId="2" fillId="43" borderId="14" xfId="0" applyFont="1" applyFill="1" applyBorder="1" applyAlignment="1" applyProtection="1">
      <alignment horizontal="center" vertical="center"/>
      <protection/>
    </xf>
    <xf numFmtId="0" fontId="2" fillId="43" borderId="77" xfId="0" applyFont="1" applyFill="1" applyBorder="1" applyAlignment="1" applyProtection="1">
      <alignment horizontal="center" vertical="center"/>
      <protection/>
    </xf>
    <xf numFmtId="49" fontId="2" fillId="43" borderId="21" xfId="0" applyNumberFormat="1" applyFont="1" applyFill="1" applyBorder="1" applyAlignment="1" applyProtection="1">
      <alignment horizontal="center" vertical="center"/>
      <protection/>
    </xf>
    <xf numFmtId="0" fontId="8" fillId="41" borderId="15" xfId="0" applyFont="1" applyFill="1" applyBorder="1" applyAlignment="1" applyProtection="1">
      <alignment horizontal="center" vertical="center"/>
      <protection/>
    </xf>
    <xf numFmtId="0" fontId="8" fillId="41" borderId="17" xfId="0" applyFont="1" applyFill="1" applyBorder="1" applyAlignment="1" applyProtection="1">
      <alignment horizontal="center" vertical="center"/>
      <protection/>
    </xf>
    <xf numFmtId="0" fontId="4" fillId="0" borderId="14" xfId="0" applyFont="1" applyBorder="1" applyAlignment="1" applyProtection="1">
      <alignment horizontal="center" vertical="center" shrinkToFit="1"/>
      <protection/>
    </xf>
    <xf numFmtId="0" fontId="4" fillId="0" borderId="18" xfId="0" applyFont="1" applyBorder="1" applyAlignment="1" applyProtection="1">
      <alignment horizontal="center" vertical="center" shrinkToFit="1"/>
      <protection/>
    </xf>
    <xf numFmtId="0" fontId="4" fillId="0" borderId="77" xfId="0" applyFont="1" applyBorder="1" applyAlignment="1" applyProtection="1">
      <alignment horizontal="center" vertical="center" shrinkToFit="1"/>
      <protection/>
    </xf>
    <xf numFmtId="0" fontId="2" fillId="33" borderId="21" xfId="0" applyFont="1" applyFill="1" applyBorder="1" applyAlignment="1">
      <alignment horizontal="left" vertical="center" shrinkToFit="1"/>
    </xf>
    <xf numFmtId="0" fontId="2" fillId="0" borderId="14" xfId="0" applyFont="1" applyBorder="1" applyAlignment="1" applyProtection="1">
      <alignment horizontal="center" vertical="center" shrinkToFit="1"/>
      <protection/>
    </xf>
    <xf numFmtId="0" fontId="2" fillId="0" borderId="18" xfId="0" applyFont="1" applyBorder="1" applyAlignment="1" applyProtection="1">
      <alignment horizontal="center" vertical="center" shrinkToFit="1"/>
      <protection/>
    </xf>
    <xf numFmtId="0" fontId="2" fillId="0" borderId="77" xfId="0" applyFont="1" applyBorder="1" applyAlignment="1" applyProtection="1">
      <alignment horizontal="center" vertical="center" shrinkToFit="1"/>
      <protection/>
    </xf>
    <xf numFmtId="0" fontId="8" fillId="41" borderId="14" xfId="0" applyFont="1" applyFill="1" applyBorder="1" applyAlignment="1" applyProtection="1">
      <alignment horizontal="center" vertical="center"/>
      <protection/>
    </xf>
    <xf numFmtId="0" fontId="8" fillId="41" borderId="77" xfId="0" applyFont="1" applyFill="1" applyBorder="1" applyAlignment="1" applyProtection="1">
      <alignment horizontal="center" vertical="center"/>
      <protection/>
    </xf>
    <xf numFmtId="0" fontId="2" fillId="34" borderId="14" xfId="0" applyFont="1" applyFill="1" applyBorder="1" applyAlignment="1" applyProtection="1">
      <alignment horizontal="center" vertical="center"/>
      <protection/>
    </xf>
    <xf numFmtId="0" fontId="2" fillId="34" borderId="18" xfId="0" applyFont="1" applyFill="1" applyBorder="1" applyAlignment="1" applyProtection="1">
      <alignment horizontal="center" vertical="center"/>
      <protection/>
    </xf>
    <xf numFmtId="0" fontId="2" fillId="34" borderId="77" xfId="0" applyFont="1" applyFill="1" applyBorder="1" applyAlignment="1" applyProtection="1">
      <alignment horizontal="center" vertical="center"/>
      <protection/>
    </xf>
    <xf numFmtId="0" fontId="5" fillId="47" borderId="21" xfId="0" applyFont="1" applyFill="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43" borderId="14" xfId="0" applyNumberFormat="1" applyFont="1" applyFill="1" applyBorder="1" applyAlignment="1" applyProtection="1">
      <alignment horizontal="center" vertical="center"/>
      <protection/>
    </xf>
    <xf numFmtId="0" fontId="2" fillId="43" borderId="77" xfId="0" applyNumberFormat="1" applyFont="1" applyFill="1" applyBorder="1" applyAlignment="1" applyProtection="1">
      <alignment horizontal="center" vertical="center"/>
      <protection/>
    </xf>
    <xf numFmtId="49" fontId="2" fillId="0" borderId="21" xfId="0" applyNumberFormat="1" applyFont="1" applyFill="1" applyBorder="1" applyAlignment="1" applyProtection="1">
      <alignment horizontal="center" vertical="center"/>
      <protection locked="0"/>
    </xf>
    <xf numFmtId="0" fontId="2" fillId="0" borderId="21" xfId="0" applyFont="1" applyBorder="1" applyAlignment="1" applyProtection="1">
      <alignment horizontal="center" vertical="center" wrapText="1" shrinkToFit="1"/>
      <protection/>
    </xf>
    <xf numFmtId="49" fontId="2" fillId="43" borderId="21" xfId="0" applyNumberFormat="1" applyFont="1" applyFill="1" applyBorder="1" applyAlignment="1" applyProtection="1">
      <alignment horizontal="center" vertical="center"/>
      <protection locked="0"/>
    </xf>
    <xf numFmtId="0" fontId="2" fillId="41" borderId="14" xfId="0" applyFont="1" applyFill="1" applyBorder="1" applyAlignment="1" applyProtection="1">
      <alignment horizontal="center" vertical="center"/>
      <protection/>
    </xf>
    <xf numFmtId="0" fontId="2" fillId="41" borderId="18" xfId="0" applyFont="1" applyFill="1" applyBorder="1" applyAlignment="1" applyProtection="1">
      <alignment horizontal="center" vertical="center"/>
      <protection/>
    </xf>
    <xf numFmtId="0" fontId="2" fillId="41" borderId="77" xfId="0" applyFont="1" applyFill="1" applyBorder="1" applyAlignment="1" applyProtection="1">
      <alignment horizontal="center" vertical="center"/>
      <protection/>
    </xf>
    <xf numFmtId="49" fontId="2" fillId="33" borderId="14" xfId="0" applyNumberFormat="1" applyFont="1" applyFill="1" applyBorder="1" applyAlignment="1" applyProtection="1">
      <alignment horizontal="left" vertical="center"/>
      <protection locked="0"/>
    </xf>
    <xf numFmtId="49" fontId="2" fillId="33" borderId="18" xfId="0" applyNumberFormat="1" applyFont="1" applyFill="1" applyBorder="1" applyAlignment="1" applyProtection="1">
      <alignment horizontal="left" vertical="center"/>
      <protection locked="0"/>
    </xf>
    <xf numFmtId="49" fontId="2" fillId="33" borderId="77" xfId="0" applyNumberFormat="1" applyFont="1" applyFill="1" applyBorder="1" applyAlignment="1" applyProtection="1">
      <alignment horizontal="left" vertical="center"/>
      <protection locked="0"/>
    </xf>
    <xf numFmtId="0" fontId="6" fillId="47" borderId="10" xfId="0" applyFont="1" applyFill="1" applyBorder="1" applyAlignment="1" applyProtection="1">
      <alignment horizontal="center" vertical="center" wrapText="1"/>
      <protection/>
    </xf>
    <xf numFmtId="0" fontId="6" fillId="47" borderId="11" xfId="0" applyFont="1" applyFill="1" applyBorder="1" applyAlignment="1" applyProtection="1">
      <alignment horizontal="center" vertical="center" wrapText="1"/>
      <protection/>
    </xf>
    <xf numFmtId="0" fontId="6" fillId="47" borderId="19" xfId="0" applyFont="1" applyFill="1" applyBorder="1" applyAlignment="1" applyProtection="1">
      <alignment horizontal="center" vertical="center" wrapText="1"/>
      <protection/>
    </xf>
    <xf numFmtId="0" fontId="6" fillId="47" borderId="12" xfId="0" applyFont="1" applyFill="1" applyBorder="1" applyAlignment="1" applyProtection="1">
      <alignment horizontal="center" vertical="center" wrapText="1"/>
      <protection/>
    </xf>
    <xf numFmtId="0" fontId="6" fillId="47" borderId="0" xfId="0" applyFont="1" applyFill="1" applyBorder="1" applyAlignment="1" applyProtection="1">
      <alignment horizontal="center" vertical="center" wrapText="1"/>
      <protection/>
    </xf>
    <xf numFmtId="0" fontId="6" fillId="47" borderId="13" xfId="0" applyFont="1" applyFill="1" applyBorder="1" applyAlignment="1" applyProtection="1">
      <alignment horizontal="center" vertical="center" wrapText="1"/>
      <protection/>
    </xf>
    <xf numFmtId="188" fontId="2" fillId="41" borderId="21" xfId="0" applyNumberFormat="1" applyFont="1" applyFill="1" applyBorder="1" applyAlignment="1" applyProtection="1">
      <alignment horizontal="center" vertical="center" shrinkToFit="1"/>
      <protection/>
    </xf>
    <xf numFmtId="176" fontId="4" fillId="41" borderId="11" xfId="49" applyNumberFormat="1" applyFont="1" applyFill="1" applyBorder="1" applyAlignment="1" applyProtection="1">
      <alignment horizontal="center" vertical="center" shrinkToFit="1"/>
      <protection/>
    </xf>
    <xf numFmtId="176" fontId="4" fillId="41" borderId="19" xfId="49" applyNumberFormat="1" applyFont="1" applyFill="1" applyBorder="1" applyAlignment="1" applyProtection="1">
      <alignment horizontal="center" vertical="center" shrinkToFit="1"/>
      <protection/>
    </xf>
    <xf numFmtId="176" fontId="4" fillId="41" borderId="16" xfId="49" applyNumberFormat="1" applyFont="1" applyFill="1" applyBorder="1" applyAlignment="1" applyProtection="1">
      <alignment horizontal="center" vertical="center" shrinkToFit="1"/>
      <protection/>
    </xf>
    <xf numFmtId="176" fontId="4" fillId="41" borderId="17" xfId="49" applyNumberFormat="1" applyFont="1" applyFill="1" applyBorder="1" applyAlignment="1" applyProtection="1">
      <alignment horizontal="center" vertical="center" shrinkToFit="1"/>
      <protection/>
    </xf>
    <xf numFmtId="38" fontId="7" fillId="0" borderId="21" xfId="49" applyFont="1" applyFill="1" applyBorder="1" applyAlignment="1" applyProtection="1">
      <alignment horizontal="center" vertical="center" wrapText="1" shrinkToFit="1"/>
      <protection locked="0"/>
    </xf>
    <xf numFmtId="9" fontId="2" fillId="41" borderId="15" xfId="42" applyFont="1" applyFill="1" applyBorder="1" applyAlignment="1" applyProtection="1">
      <alignment horizontal="center" vertical="center"/>
      <protection/>
    </xf>
    <xf numFmtId="9" fontId="2" fillId="41" borderId="16" xfId="42" applyFont="1" applyFill="1" applyBorder="1" applyAlignment="1" applyProtection="1">
      <alignment horizontal="center" vertical="center"/>
      <protection/>
    </xf>
    <xf numFmtId="9" fontId="2" fillId="41" borderId="17" xfId="42" applyFont="1" applyFill="1" applyBorder="1" applyAlignment="1" applyProtection="1">
      <alignment horizontal="center" vertical="center"/>
      <protection/>
    </xf>
    <xf numFmtId="0" fontId="6" fillId="47" borderId="15" xfId="0" applyFont="1" applyFill="1" applyBorder="1" applyAlignment="1" applyProtection="1">
      <alignment horizontal="center" vertical="center" wrapText="1"/>
      <protection/>
    </xf>
    <xf numFmtId="0" fontId="6" fillId="47" borderId="16" xfId="0" applyFont="1" applyFill="1" applyBorder="1" applyAlignment="1" applyProtection="1">
      <alignment horizontal="center" vertical="center" wrapText="1"/>
      <protection/>
    </xf>
    <xf numFmtId="0" fontId="6" fillId="47" borderId="17" xfId="0" applyFont="1" applyFill="1" applyBorder="1" applyAlignment="1" applyProtection="1">
      <alignment horizontal="center" vertical="center" wrapText="1"/>
      <protection/>
    </xf>
    <xf numFmtId="38" fontId="2" fillId="41" borderId="21" xfId="49" applyFont="1" applyFill="1" applyBorder="1" applyAlignment="1" applyProtection="1">
      <alignment horizontal="center" vertical="center"/>
      <protection/>
    </xf>
    <xf numFmtId="0" fontId="2" fillId="36" borderId="21" xfId="0" applyFont="1" applyFill="1" applyBorder="1" applyAlignment="1" applyProtection="1">
      <alignment horizontal="center" vertical="center"/>
      <protection/>
    </xf>
    <xf numFmtId="0" fontId="2" fillId="36" borderId="21" xfId="0" applyNumberFormat="1" applyFont="1" applyFill="1" applyBorder="1" applyAlignment="1" applyProtection="1">
      <alignment horizontal="center" vertical="center"/>
      <protection/>
    </xf>
    <xf numFmtId="0" fontId="2" fillId="34" borderId="21" xfId="0" applyFont="1" applyFill="1" applyBorder="1" applyAlignment="1" applyProtection="1">
      <alignment horizontal="center" vertical="center"/>
      <protection/>
    </xf>
    <xf numFmtId="0" fontId="2" fillId="41" borderId="10" xfId="0" applyFont="1" applyFill="1" applyBorder="1" applyAlignment="1" applyProtection="1">
      <alignment horizontal="center" vertical="center"/>
      <protection/>
    </xf>
    <xf numFmtId="0" fontId="2" fillId="41" borderId="11" xfId="0" applyFont="1" applyFill="1" applyBorder="1" applyAlignment="1" applyProtection="1">
      <alignment horizontal="center" vertical="center"/>
      <protection/>
    </xf>
    <xf numFmtId="0" fontId="2" fillId="41" borderId="19" xfId="0" applyFont="1" applyFill="1" applyBorder="1" applyAlignment="1" applyProtection="1">
      <alignment horizontal="center" vertical="center"/>
      <protection/>
    </xf>
    <xf numFmtId="0" fontId="5" fillId="41" borderId="12" xfId="0" applyFont="1" applyFill="1" applyBorder="1" applyAlignment="1" applyProtection="1">
      <alignment horizontal="center" vertical="center"/>
      <protection/>
    </xf>
    <xf numFmtId="0" fontId="5" fillId="41" borderId="0" xfId="0" applyFont="1" applyFill="1" applyBorder="1" applyAlignment="1" applyProtection="1">
      <alignment horizontal="center" vertical="center"/>
      <protection/>
    </xf>
    <xf numFmtId="0" fontId="5" fillId="41" borderId="13" xfId="0" applyFont="1" applyFill="1" applyBorder="1" applyAlignment="1" applyProtection="1">
      <alignment horizontal="center" vertical="center"/>
      <protection/>
    </xf>
    <xf numFmtId="0" fontId="12" fillId="50" borderId="12" xfId="0" applyFont="1" applyFill="1" applyBorder="1" applyAlignment="1" applyProtection="1">
      <alignment horizontal="center" vertical="center"/>
      <protection/>
    </xf>
    <xf numFmtId="0" fontId="12" fillId="50" borderId="0" xfId="0" applyFont="1" applyFill="1" applyBorder="1" applyAlignment="1" applyProtection="1">
      <alignment horizontal="center" vertical="center"/>
      <protection/>
    </xf>
    <xf numFmtId="0" fontId="12" fillId="50" borderId="13" xfId="0" applyFont="1" applyFill="1" applyBorder="1" applyAlignment="1" applyProtection="1">
      <alignment horizontal="center" vertical="center"/>
      <protection/>
    </xf>
    <xf numFmtId="0" fontId="4" fillId="47" borderId="21" xfId="0" applyFont="1" applyFill="1" applyBorder="1" applyAlignment="1" applyProtection="1">
      <alignment horizontal="center" vertical="center" wrapText="1"/>
      <protection/>
    </xf>
    <xf numFmtId="0" fontId="6" fillId="47" borderId="21" xfId="0" applyFont="1" applyFill="1" applyBorder="1" applyAlignment="1" applyProtection="1">
      <alignment horizontal="center" vertical="center" wrapText="1"/>
      <protection/>
    </xf>
    <xf numFmtId="0" fontId="2" fillId="51" borderId="63" xfId="0" applyFont="1" applyFill="1" applyBorder="1" applyAlignment="1" applyProtection="1">
      <alignment horizontal="center" vertical="center"/>
      <protection/>
    </xf>
    <xf numFmtId="0" fontId="2" fillId="34" borderId="21" xfId="0" applyFont="1" applyFill="1" applyBorder="1" applyAlignment="1" applyProtection="1">
      <alignment horizontal="center" vertical="center"/>
      <protection locked="0"/>
    </xf>
    <xf numFmtId="0" fontId="6" fillId="0" borderId="14"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2" fillId="0" borderId="21" xfId="62" applyFont="1" applyFill="1" applyBorder="1" applyAlignment="1">
      <alignment horizontal="center" vertical="center" shrinkToFit="1"/>
    </xf>
    <xf numFmtId="0" fontId="5" fillId="0" borderId="21" xfId="62" applyFont="1" applyFill="1" applyBorder="1" applyAlignment="1">
      <alignment horizontal="center" vertical="center" shrinkToFit="1"/>
    </xf>
    <xf numFmtId="0" fontId="13" fillId="0" borderId="21" xfId="62" applyFont="1" applyFill="1" applyBorder="1" applyAlignment="1">
      <alignment horizontal="center" vertical="center" shrinkToFit="1"/>
    </xf>
    <xf numFmtId="0" fontId="13" fillId="0" borderId="21" xfId="62" applyFont="1" applyFill="1" applyBorder="1" applyAlignment="1">
      <alignment horizontal="center" vertical="center"/>
    </xf>
    <xf numFmtId="0" fontId="2" fillId="39" borderId="48" xfId="0" applyFont="1" applyFill="1" applyBorder="1" applyAlignment="1" applyProtection="1">
      <alignment horizontal="center" vertical="center" shrinkToFit="1"/>
      <protection/>
    </xf>
    <xf numFmtId="0" fontId="2" fillId="39" borderId="0" xfId="0" applyFont="1" applyFill="1" applyBorder="1" applyAlignment="1" applyProtection="1">
      <alignment horizontal="center" vertical="center" shrinkToFit="1"/>
      <protection/>
    </xf>
    <xf numFmtId="0" fontId="2" fillId="0" borderId="0"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2" fillId="35" borderId="45" xfId="0" applyFont="1" applyFill="1" applyBorder="1" applyAlignment="1" applyProtection="1">
      <alignment horizontal="center" vertical="center" shrinkToFit="1"/>
      <protection/>
    </xf>
    <xf numFmtId="0" fontId="2" fillId="35" borderId="46" xfId="0" applyFont="1" applyFill="1" applyBorder="1" applyAlignment="1" applyProtection="1">
      <alignment horizontal="center" vertical="center" shrinkToFit="1"/>
      <protection/>
    </xf>
    <xf numFmtId="0" fontId="2" fillId="36" borderId="48" xfId="0" applyFont="1" applyFill="1" applyBorder="1" applyAlignment="1" applyProtection="1">
      <alignment horizontal="center" vertical="center" shrinkToFit="1"/>
      <protection/>
    </xf>
    <xf numFmtId="0" fontId="2" fillId="36" borderId="0" xfId="0" applyFont="1" applyFill="1" applyBorder="1" applyAlignment="1" applyProtection="1">
      <alignment horizontal="center" vertical="center" shrinkToFit="1"/>
      <protection/>
    </xf>
    <xf numFmtId="0" fontId="2" fillId="37" borderId="48" xfId="0" applyFont="1" applyFill="1" applyBorder="1" applyAlignment="1" applyProtection="1">
      <alignment horizontal="center" vertical="center" shrinkToFit="1"/>
      <protection/>
    </xf>
    <xf numFmtId="0" fontId="2" fillId="37" borderId="0" xfId="0" applyFont="1" applyFill="1" applyBorder="1" applyAlignment="1" applyProtection="1">
      <alignment horizontal="center" vertical="center" shrinkToFit="1"/>
      <protection/>
    </xf>
    <xf numFmtId="0" fontId="5" fillId="41" borderId="48" xfId="0" applyFont="1" applyFill="1" applyBorder="1" applyAlignment="1" applyProtection="1">
      <alignment horizontal="center" vertical="center"/>
      <protection/>
    </xf>
    <xf numFmtId="0" fontId="5" fillId="41" borderId="49" xfId="0" applyFont="1" applyFill="1" applyBorder="1" applyAlignment="1" applyProtection="1">
      <alignment horizontal="center" vertical="center"/>
      <protection/>
    </xf>
    <xf numFmtId="0" fontId="8" fillId="41" borderId="46" xfId="0" applyFont="1" applyFill="1" applyBorder="1" applyAlignment="1" applyProtection="1">
      <alignment horizontal="center" vertical="center" shrinkToFit="1"/>
      <protection/>
    </xf>
    <xf numFmtId="0" fontId="8" fillId="41" borderId="83" xfId="0" applyFont="1" applyFill="1" applyBorder="1" applyAlignment="1" applyProtection="1">
      <alignment horizontal="center" vertical="center" shrinkToFit="1"/>
      <protection/>
    </xf>
    <xf numFmtId="0" fontId="8" fillId="41" borderId="0" xfId="0" applyFont="1" applyFill="1" applyBorder="1" applyAlignment="1" applyProtection="1">
      <alignment horizontal="center" vertical="center" shrinkToFit="1"/>
      <protection/>
    </xf>
    <xf numFmtId="0" fontId="8" fillId="41" borderId="13" xfId="0" applyFont="1" applyFill="1" applyBorder="1" applyAlignment="1" applyProtection="1">
      <alignment horizontal="center" vertical="center" shrinkToFit="1"/>
      <protection/>
    </xf>
    <xf numFmtId="0" fontId="2" fillId="47" borderId="15" xfId="0" applyFont="1" applyFill="1" applyBorder="1" applyAlignment="1" applyProtection="1">
      <alignment horizontal="center" vertical="center"/>
      <protection/>
    </xf>
    <xf numFmtId="0" fontId="2" fillId="47" borderId="16" xfId="0" applyFont="1" applyFill="1" applyBorder="1" applyAlignment="1" applyProtection="1">
      <alignment horizontal="center" vertical="center"/>
      <protection/>
    </xf>
    <xf numFmtId="0" fontId="2" fillId="47" borderId="17" xfId="0" applyFont="1" applyFill="1" applyBorder="1" applyAlignment="1" applyProtection="1">
      <alignment horizontal="center" vertical="center"/>
      <protection/>
    </xf>
    <xf numFmtId="0" fontId="2" fillId="38" borderId="48" xfId="0" applyFont="1" applyFill="1" applyBorder="1" applyAlignment="1" applyProtection="1">
      <alignment horizontal="center" vertical="center" shrinkToFit="1"/>
      <protection/>
    </xf>
    <xf numFmtId="0" fontId="2" fillId="38" borderId="0" xfId="0" applyFont="1" applyFill="1" applyBorder="1" applyAlignment="1" applyProtection="1">
      <alignment horizontal="center" vertical="center" shrinkToFit="1"/>
      <protection/>
    </xf>
    <xf numFmtId="0" fontId="2" fillId="0" borderId="84" xfId="0" applyFont="1" applyBorder="1" applyAlignment="1" applyProtection="1">
      <alignment horizontal="center" vertical="center"/>
      <protection/>
    </xf>
    <xf numFmtId="0" fontId="4" fillId="43" borderId="85" xfId="0" applyFont="1" applyFill="1" applyBorder="1" applyAlignment="1" applyProtection="1">
      <alignment horizontal="center" vertical="center"/>
      <protection/>
    </xf>
    <xf numFmtId="0" fontId="2" fillId="47" borderId="14" xfId="0" applyFont="1" applyFill="1" applyBorder="1" applyAlignment="1" applyProtection="1">
      <alignment horizontal="center" vertical="center"/>
      <protection/>
    </xf>
    <xf numFmtId="0" fontId="2" fillId="47" borderId="18" xfId="0" applyFont="1" applyFill="1" applyBorder="1" applyAlignment="1" applyProtection="1">
      <alignment horizontal="center" vertical="center"/>
      <protection/>
    </xf>
    <xf numFmtId="0" fontId="2" fillId="47" borderId="77" xfId="0" applyFont="1" applyFill="1" applyBorder="1" applyAlignment="1" applyProtection="1">
      <alignment horizontal="center" vertical="center"/>
      <protection/>
    </xf>
    <xf numFmtId="0" fontId="2" fillId="41" borderId="12" xfId="0" applyFont="1" applyFill="1" applyBorder="1" applyAlignment="1" applyProtection="1">
      <alignment horizontal="center" vertical="center"/>
      <protection locked="0"/>
    </xf>
    <xf numFmtId="0" fontId="2" fillId="41" borderId="13" xfId="0" applyFont="1" applyFill="1" applyBorder="1" applyAlignment="1" applyProtection="1">
      <alignment horizontal="center" vertical="center"/>
      <protection locked="0"/>
    </xf>
    <xf numFmtId="0" fontId="5" fillId="41" borderId="45" xfId="0" applyFont="1" applyFill="1" applyBorder="1" applyAlignment="1" applyProtection="1">
      <alignment horizontal="center" vertical="center"/>
      <protection/>
    </xf>
    <xf numFmtId="0" fontId="5" fillId="41" borderId="46" xfId="0" applyFont="1" applyFill="1" applyBorder="1" applyAlignment="1" applyProtection="1">
      <alignment horizontal="center" vertical="center"/>
      <protection/>
    </xf>
    <xf numFmtId="0" fontId="5" fillId="41" borderId="47" xfId="0" applyFont="1" applyFill="1" applyBorder="1" applyAlignment="1" applyProtection="1">
      <alignment horizontal="center" vertical="center"/>
      <protection/>
    </xf>
    <xf numFmtId="0" fontId="2" fillId="41" borderId="86" xfId="0" applyFont="1" applyFill="1" applyBorder="1" applyAlignment="1" applyProtection="1">
      <alignment horizontal="center" vertical="center"/>
      <protection locked="0"/>
    </xf>
    <xf numFmtId="0" fontId="2" fillId="41" borderId="83" xfId="0" applyFont="1" applyFill="1" applyBorder="1" applyAlignment="1" applyProtection="1">
      <alignment horizontal="center" vertical="center"/>
      <protection locked="0"/>
    </xf>
    <xf numFmtId="0" fontId="2" fillId="43" borderId="85" xfId="0" applyFont="1" applyFill="1" applyBorder="1" applyAlignment="1" applyProtection="1">
      <alignment horizontal="center" vertical="center"/>
      <protection locked="0"/>
    </xf>
    <xf numFmtId="0" fontId="4" fillId="33" borderId="21" xfId="0" applyFont="1" applyFill="1" applyBorder="1" applyAlignment="1" applyProtection="1">
      <alignment horizontal="center" vertical="center"/>
      <protection/>
    </xf>
    <xf numFmtId="0" fontId="2" fillId="52" borderId="77" xfId="0" applyFont="1" applyFill="1" applyBorder="1" applyAlignment="1" applyProtection="1">
      <alignment horizontal="center" vertical="center"/>
      <protection locked="0"/>
    </xf>
    <xf numFmtId="0" fontId="2" fillId="52" borderId="21" xfId="0" applyFont="1" applyFill="1" applyBorder="1" applyAlignment="1" applyProtection="1">
      <alignment horizontal="center" vertical="center"/>
      <protection locked="0"/>
    </xf>
    <xf numFmtId="0" fontId="2" fillId="47" borderId="12" xfId="0" applyFont="1" applyFill="1" applyBorder="1" applyAlignment="1" applyProtection="1">
      <alignment horizontal="center" vertical="center"/>
      <protection/>
    </xf>
    <xf numFmtId="0" fontId="2" fillId="47" borderId="0" xfId="0" applyFont="1" applyFill="1" applyBorder="1" applyAlignment="1" applyProtection="1">
      <alignment horizontal="center" vertical="center"/>
      <protection/>
    </xf>
    <xf numFmtId="0" fontId="2" fillId="47" borderId="13" xfId="0" applyFont="1" applyFill="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2" fillId="0" borderId="84" xfId="0" applyFont="1" applyBorder="1" applyAlignment="1" applyProtection="1">
      <alignment horizontal="center" vertical="center" wrapText="1"/>
      <protection/>
    </xf>
    <xf numFmtId="0" fontId="2" fillId="52" borderId="16" xfId="0" applyFont="1" applyFill="1" applyBorder="1" applyAlignment="1" applyProtection="1">
      <alignment horizontal="center" vertical="center"/>
      <protection locked="0"/>
    </xf>
    <xf numFmtId="0" fontId="2" fillId="52" borderId="17" xfId="0" applyFont="1" applyFill="1" applyBorder="1" applyAlignment="1" applyProtection="1">
      <alignment horizontal="center" vertical="center"/>
      <protection locked="0"/>
    </xf>
    <xf numFmtId="0" fontId="4" fillId="43" borderId="21" xfId="0" applyFont="1" applyFill="1" applyBorder="1" applyAlignment="1" applyProtection="1">
      <alignment horizontal="center" vertical="center"/>
      <protection/>
    </xf>
    <xf numFmtId="0" fontId="2" fillId="47" borderId="10" xfId="0" applyFont="1" applyFill="1" applyBorder="1" applyAlignment="1" applyProtection="1">
      <alignment horizontal="center" vertical="center"/>
      <protection/>
    </xf>
    <xf numFmtId="0" fontId="2" fillId="47" borderId="11" xfId="0" applyFont="1" applyFill="1" applyBorder="1" applyAlignment="1" applyProtection="1">
      <alignment horizontal="center" vertical="center"/>
      <protection/>
    </xf>
    <xf numFmtId="0" fontId="2" fillId="47" borderId="19" xfId="0" applyFont="1" applyFill="1" applyBorder="1" applyAlignment="1" applyProtection="1">
      <alignment horizontal="center" vertical="center"/>
      <protection/>
    </xf>
    <xf numFmtId="0" fontId="2" fillId="47" borderId="82" xfId="0" applyFont="1" applyFill="1" applyBorder="1" applyAlignment="1" applyProtection="1">
      <alignment horizontal="center" vertical="center"/>
      <protection/>
    </xf>
    <xf numFmtId="0" fontId="2" fillId="47" borderId="50" xfId="0" applyFont="1" applyFill="1" applyBorder="1" applyAlignment="1" applyProtection="1">
      <alignment horizontal="center" vertical="center"/>
      <protection/>
    </xf>
    <xf numFmtId="0" fontId="5" fillId="43" borderId="80" xfId="0" applyFont="1" applyFill="1" applyBorder="1" applyAlignment="1" applyProtection="1">
      <alignment horizontal="center" vertical="center"/>
      <protection/>
    </xf>
    <xf numFmtId="0" fontId="5" fillId="43" borderId="81" xfId="0" applyFont="1" applyFill="1" applyBorder="1" applyAlignment="1" applyProtection="1">
      <alignment horizontal="center" vertical="center"/>
      <protection/>
    </xf>
    <xf numFmtId="0" fontId="2" fillId="33" borderId="0" xfId="0" applyFont="1" applyFill="1" applyBorder="1" applyAlignment="1" applyProtection="1">
      <alignment horizontal="center" vertical="center"/>
      <protection locked="0"/>
    </xf>
    <xf numFmtId="0" fontId="2" fillId="33" borderId="13" xfId="0" applyFont="1" applyFill="1" applyBorder="1" applyAlignment="1" applyProtection="1">
      <alignment horizontal="center" vertical="center"/>
      <protection locked="0"/>
    </xf>
    <xf numFmtId="0" fontId="4" fillId="47" borderId="14" xfId="0" applyFont="1" applyFill="1" applyBorder="1" applyAlignment="1" applyProtection="1">
      <alignment horizontal="center" vertical="center" shrinkToFit="1"/>
      <protection/>
    </xf>
    <xf numFmtId="0" fontId="4" fillId="47" borderId="18" xfId="0" applyFont="1" applyFill="1" applyBorder="1" applyAlignment="1" applyProtection="1">
      <alignment horizontal="center" vertical="center" shrinkToFit="1"/>
      <protection/>
    </xf>
    <xf numFmtId="0" fontId="4" fillId="47" borderId="77" xfId="0" applyFont="1" applyFill="1" applyBorder="1" applyAlignment="1" applyProtection="1">
      <alignment horizontal="center" vertical="center" shrinkToFit="1"/>
      <protection/>
    </xf>
    <xf numFmtId="0" fontId="4" fillId="47" borderId="15" xfId="0" applyFont="1" applyFill="1" applyBorder="1" applyAlignment="1" applyProtection="1">
      <alignment horizontal="center" vertical="center" shrinkToFit="1"/>
      <protection/>
    </xf>
    <xf numFmtId="0" fontId="4" fillId="47" borderId="16" xfId="0" applyFont="1" applyFill="1" applyBorder="1" applyAlignment="1" applyProtection="1">
      <alignment horizontal="center" vertical="center" shrinkToFit="1"/>
      <protection/>
    </xf>
    <xf numFmtId="0" fontId="4" fillId="47" borderId="17" xfId="0" applyFont="1" applyFill="1" applyBorder="1" applyAlignment="1" applyProtection="1">
      <alignment horizontal="center" vertical="center" shrinkToFit="1"/>
      <protection/>
    </xf>
    <xf numFmtId="0" fontId="2" fillId="47" borderId="10" xfId="0" applyFont="1" applyFill="1" applyBorder="1" applyAlignment="1" applyProtection="1">
      <alignment horizontal="center" vertical="center" shrinkToFit="1"/>
      <protection/>
    </xf>
    <xf numFmtId="0" fontId="2" fillId="47" borderId="11" xfId="0" applyFont="1" applyFill="1" applyBorder="1" applyAlignment="1" applyProtection="1">
      <alignment horizontal="center" vertical="center" shrinkToFit="1"/>
      <protection/>
    </xf>
    <xf numFmtId="0" fontId="2" fillId="47" borderId="19" xfId="0" applyFont="1" applyFill="1" applyBorder="1" applyAlignment="1" applyProtection="1">
      <alignment horizontal="center" vertical="center" shrinkToFit="1"/>
      <protection/>
    </xf>
    <xf numFmtId="0" fontId="0" fillId="47" borderId="18" xfId="0" applyFont="1" applyFill="1" applyBorder="1" applyAlignment="1">
      <alignment horizontal="center" vertical="center"/>
    </xf>
    <xf numFmtId="0" fontId="0" fillId="47" borderId="77" xfId="0" applyFont="1" applyFill="1" applyBorder="1" applyAlignment="1">
      <alignment horizontal="center" vertical="center"/>
    </xf>
    <xf numFmtId="0" fontId="2" fillId="33" borderId="77" xfId="0" applyFont="1" applyFill="1" applyBorder="1" applyAlignment="1" applyProtection="1">
      <alignment horizontal="center" vertical="center"/>
      <protection locked="0"/>
    </xf>
    <xf numFmtId="0" fontId="2" fillId="33" borderId="21" xfId="0" applyFont="1" applyFill="1" applyBorder="1" applyAlignment="1" applyProtection="1">
      <alignment horizontal="center" vertical="center"/>
      <protection locked="0"/>
    </xf>
    <xf numFmtId="0" fontId="0" fillId="47" borderId="16" xfId="0" applyFont="1" applyFill="1" applyBorder="1" applyAlignment="1">
      <alignment horizontal="center" vertical="center"/>
    </xf>
    <xf numFmtId="0" fontId="0" fillId="47" borderId="17" xfId="0" applyFont="1" applyFill="1" applyBorder="1" applyAlignment="1">
      <alignment horizontal="center" vertical="center"/>
    </xf>
    <xf numFmtId="0" fontId="2" fillId="52" borderId="14" xfId="0" applyFont="1" applyFill="1" applyBorder="1" applyAlignment="1" applyProtection="1">
      <alignment horizontal="center" vertical="center"/>
      <protection locked="0"/>
    </xf>
    <xf numFmtId="0" fontId="2" fillId="52" borderId="18" xfId="0" applyFont="1" applyFill="1" applyBorder="1" applyAlignment="1" applyProtection="1">
      <alignment horizontal="center" vertical="center"/>
      <protection locked="0"/>
    </xf>
    <xf numFmtId="0" fontId="2" fillId="33" borderId="14" xfId="0" applyFont="1" applyFill="1" applyBorder="1" applyAlignment="1" applyProtection="1">
      <alignment horizontal="center" vertical="center"/>
      <protection locked="0"/>
    </xf>
    <xf numFmtId="0" fontId="2" fillId="33" borderId="18" xfId="0" applyFont="1" applyFill="1" applyBorder="1" applyAlignment="1" applyProtection="1">
      <alignment horizontal="center" vertical="center"/>
      <protection locked="0"/>
    </xf>
    <xf numFmtId="0" fontId="2" fillId="34" borderId="18" xfId="0" applyFont="1" applyFill="1" applyBorder="1" applyAlignment="1" applyProtection="1">
      <alignment horizontal="center" vertical="center"/>
      <protection locked="0"/>
    </xf>
    <xf numFmtId="0" fontId="2" fillId="34" borderId="77" xfId="0" applyFont="1" applyFill="1" applyBorder="1" applyAlignment="1" applyProtection="1">
      <alignment horizontal="center" vertical="center"/>
      <protection locked="0"/>
    </xf>
    <xf numFmtId="0" fontId="2" fillId="33" borderId="21" xfId="0" applyFont="1" applyFill="1" applyBorder="1" applyAlignment="1" applyProtection="1">
      <alignment horizontal="center" vertical="center"/>
      <protection/>
    </xf>
    <xf numFmtId="0" fontId="2" fillId="41" borderId="63" xfId="0" applyFont="1" applyFill="1" applyBorder="1" applyAlignment="1" applyProtection="1">
      <alignment horizontal="center" vertical="center"/>
      <protection/>
    </xf>
    <xf numFmtId="0" fontId="6" fillId="0" borderId="87" xfId="0" applyFont="1" applyBorder="1" applyAlignment="1" applyProtection="1">
      <alignment horizontal="center" vertical="center" shrinkToFit="1"/>
      <protection/>
    </xf>
    <xf numFmtId="0" fontId="6" fillId="0" borderId="88" xfId="0" applyFont="1" applyBorder="1" applyAlignment="1" applyProtection="1">
      <alignment horizontal="center" vertical="center" shrinkToFit="1"/>
      <protection/>
    </xf>
    <xf numFmtId="0" fontId="2" fillId="41" borderId="89" xfId="0" applyFont="1" applyFill="1" applyBorder="1" applyAlignment="1" applyProtection="1">
      <alignment horizontal="center" vertical="center"/>
      <protection/>
    </xf>
    <xf numFmtId="0" fontId="2" fillId="41" borderId="85" xfId="0" applyFont="1" applyFill="1" applyBorder="1" applyAlignment="1" applyProtection="1">
      <alignment horizontal="center" vertical="center"/>
      <protection/>
    </xf>
    <xf numFmtId="0" fontId="2" fillId="0" borderId="11" xfId="0" applyFont="1" applyBorder="1" applyAlignment="1" applyProtection="1">
      <alignment horizontal="center" vertical="center" wrapText="1"/>
      <protection/>
    </xf>
    <xf numFmtId="0" fontId="2" fillId="43" borderId="64" xfId="0" applyFont="1" applyFill="1" applyBorder="1" applyAlignment="1" applyProtection="1">
      <alignment horizontal="center" vertical="center"/>
      <protection locked="0"/>
    </xf>
    <xf numFmtId="0" fontId="2" fillId="0" borderId="11" xfId="0" applyFont="1" applyBorder="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2" fillId="53" borderId="64" xfId="0" applyFont="1" applyFill="1" applyBorder="1" applyAlignment="1" applyProtection="1">
      <alignment horizontal="center" vertical="center"/>
      <protection/>
    </xf>
    <xf numFmtId="0" fontId="2" fillId="51" borderId="64" xfId="0" applyFont="1" applyFill="1" applyBorder="1" applyAlignment="1" applyProtection="1">
      <alignment horizontal="center" vertical="center"/>
      <protection/>
    </xf>
    <xf numFmtId="0" fontId="2" fillId="54" borderId="64" xfId="0" applyFont="1" applyFill="1" applyBorder="1" applyAlignment="1" applyProtection="1">
      <alignment horizontal="center" vertical="center"/>
      <protection/>
    </xf>
    <xf numFmtId="0" fontId="2" fillId="54" borderId="63" xfId="0" applyFont="1" applyFill="1" applyBorder="1" applyAlignment="1" applyProtection="1">
      <alignment horizontal="center" vertical="center"/>
      <protection/>
    </xf>
    <xf numFmtId="0" fontId="2" fillId="53" borderId="63" xfId="0" applyFont="1" applyFill="1" applyBorder="1" applyAlignment="1" applyProtection="1">
      <alignment horizontal="center" vertical="center"/>
      <protection/>
    </xf>
    <xf numFmtId="0" fontId="2" fillId="40" borderId="90" xfId="0" applyFont="1" applyFill="1" applyBorder="1" applyAlignment="1" applyProtection="1">
      <alignment horizontal="center" vertical="center" shrinkToFit="1"/>
      <protection/>
    </xf>
    <xf numFmtId="0" fontId="2" fillId="40" borderId="84" xfId="0" applyFont="1" applyFill="1" applyBorder="1" applyAlignment="1" applyProtection="1">
      <alignment horizontal="center" vertical="center" shrinkToFit="1"/>
      <protection/>
    </xf>
    <xf numFmtId="0" fontId="4" fillId="47" borderId="21" xfId="0" applyFont="1" applyFill="1" applyBorder="1" applyAlignment="1" applyProtection="1">
      <alignment horizontal="center" vertical="center" shrinkToFit="1"/>
      <protection/>
    </xf>
    <xf numFmtId="0" fontId="2" fillId="0" borderId="15"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2" fillId="41" borderId="16" xfId="0" applyFont="1" applyFill="1" applyBorder="1" applyAlignment="1" applyProtection="1">
      <alignment horizontal="center" vertical="center"/>
      <protection/>
    </xf>
    <xf numFmtId="0" fontId="2" fillId="41" borderId="17" xfId="0" applyFont="1" applyFill="1" applyBorder="1" applyAlignment="1" applyProtection="1">
      <alignment horizontal="center" vertical="center"/>
      <protection/>
    </xf>
    <xf numFmtId="0" fontId="11" fillId="53" borderId="20" xfId="0" applyFont="1" applyFill="1" applyBorder="1" applyAlignment="1" applyProtection="1">
      <alignment horizontal="center" vertical="center"/>
      <protection/>
    </xf>
    <xf numFmtId="6" fontId="2" fillId="43" borderId="21" xfId="58" applyFont="1" applyFill="1" applyBorder="1" applyAlignment="1" applyProtection="1">
      <alignment horizontal="center" vertical="center"/>
      <protection locked="0"/>
    </xf>
    <xf numFmtId="0" fontId="2" fillId="43" borderId="91" xfId="0" applyFont="1" applyFill="1" applyBorder="1" applyAlignment="1" applyProtection="1">
      <alignment horizontal="center" vertical="center"/>
      <protection locked="0"/>
    </xf>
    <xf numFmtId="0" fontId="11" fillId="54" borderId="92" xfId="0" applyFont="1" applyFill="1" applyBorder="1" applyAlignment="1" applyProtection="1">
      <alignment horizontal="center" vertical="center"/>
      <protection/>
    </xf>
    <xf numFmtId="0" fontId="2" fillId="45" borderId="12" xfId="0" applyFont="1" applyFill="1" applyBorder="1" applyAlignment="1" applyProtection="1">
      <alignment horizontal="center" vertical="center"/>
      <protection locked="0"/>
    </xf>
    <xf numFmtId="0" fontId="2" fillId="45" borderId="0" xfId="0" applyFont="1" applyFill="1" applyBorder="1" applyAlignment="1" applyProtection="1">
      <alignment horizontal="center" vertical="center"/>
      <protection locked="0"/>
    </xf>
    <xf numFmtId="0" fontId="2" fillId="45" borderId="49" xfId="0" applyFont="1" applyFill="1" applyBorder="1" applyAlignment="1" applyProtection="1">
      <alignment horizontal="center" vertical="center"/>
      <protection locked="0"/>
    </xf>
    <xf numFmtId="0" fontId="11" fillId="53" borderId="92" xfId="0" applyFont="1" applyFill="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2" fillId="0" borderId="18" xfId="0" applyFont="1" applyBorder="1" applyAlignment="1" applyProtection="1">
      <alignment horizontal="center" vertical="center"/>
      <protection/>
    </xf>
    <xf numFmtId="0" fontId="2" fillId="0" borderId="77"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4" fillId="43" borderId="91" xfId="0" applyFont="1" applyFill="1" applyBorder="1" applyAlignment="1" applyProtection="1">
      <alignment horizontal="center" vertical="center"/>
      <protection/>
    </xf>
    <xf numFmtId="0" fontId="5" fillId="41" borderId="90" xfId="0" applyFont="1" applyFill="1" applyBorder="1" applyAlignment="1" applyProtection="1">
      <alignment horizontal="center" vertical="center"/>
      <protection/>
    </xf>
    <xf numFmtId="0" fontId="5" fillId="41" borderId="84" xfId="0" applyFont="1" applyFill="1" applyBorder="1" applyAlignment="1" applyProtection="1">
      <alignment horizontal="center" vertical="center"/>
      <protection/>
    </xf>
    <xf numFmtId="0" fontId="5" fillId="41" borderId="93" xfId="0" applyFont="1" applyFill="1" applyBorder="1" applyAlignment="1" applyProtection="1">
      <alignment horizontal="center" vertical="center"/>
      <protection/>
    </xf>
    <xf numFmtId="0" fontId="8" fillId="41" borderId="84" xfId="0" applyFont="1" applyFill="1" applyBorder="1" applyAlignment="1" applyProtection="1">
      <alignment horizontal="center" vertical="center" shrinkToFit="1"/>
      <protection/>
    </xf>
    <xf numFmtId="0" fontId="8" fillId="41" borderId="94" xfId="0" applyFont="1" applyFill="1" applyBorder="1" applyAlignment="1" applyProtection="1">
      <alignment horizontal="center" vertical="center" shrinkToFit="1"/>
      <protection/>
    </xf>
    <xf numFmtId="0" fontId="2" fillId="0" borderId="14" xfId="0" applyFont="1" applyFill="1" applyBorder="1" applyAlignment="1" applyProtection="1">
      <alignment horizontal="center" vertical="center" shrinkToFit="1"/>
      <protection/>
    </xf>
    <xf numFmtId="0" fontId="2" fillId="0" borderId="18" xfId="0" applyFont="1" applyFill="1" applyBorder="1" applyAlignment="1" applyProtection="1">
      <alignment horizontal="center" vertical="center" shrinkToFit="1"/>
      <protection/>
    </xf>
    <xf numFmtId="0" fontId="2" fillId="0" borderId="77" xfId="0" applyFont="1" applyFill="1" applyBorder="1" applyAlignment="1" applyProtection="1">
      <alignment horizontal="center" vertical="center" shrinkToFit="1"/>
      <protection/>
    </xf>
    <xf numFmtId="0" fontId="2" fillId="45" borderId="95" xfId="0" applyFont="1" applyFill="1" applyBorder="1" applyAlignment="1" applyProtection="1">
      <alignment horizontal="center" vertical="center"/>
      <protection locked="0"/>
    </xf>
    <xf numFmtId="0" fontId="2" fillId="45" borderId="84" xfId="0" applyFont="1" applyFill="1" applyBorder="1" applyAlignment="1" applyProtection="1">
      <alignment horizontal="center" vertical="center"/>
      <protection locked="0"/>
    </xf>
    <xf numFmtId="0" fontId="2" fillId="45" borderId="93" xfId="0" applyFont="1" applyFill="1" applyBorder="1" applyAlignment="1" applyProtection="1">
      <alignment horizontal="center" vertical="center"/>
      <protection locked="0"/>
    </xf>
    <xf numFmtId="0" fontId="2" fillId="41" borderId="15" xfId="0" applyFont="1" applyFill="1" applyBorder="1" applyAlignment="1" applyProtection="1">
      <alignment horizontal="center" vertical="center" shrinkToFit="1"/>
      <protection locked="0"/>
    </xf>
    <xf numFmtId="0" fontId="2" fillId="41" borderId="16" xfId="0" applyFont="1" applyFill="1" applyBorder="1" applyAlignment="1" applyProtection="1">
      <alignment horizontal="center" vertical="center" shrinkToFit="1"/>
      <protection locked="0"/>
    </xf>
    <xf numFmtId="0" fontId="2" fillId="41" borderId="17" xfId="0" applyFont="1" applyFill="1" applyBorder="1" applyAlignment="1" applyProtection="1">
      <alignment horizontal="center" vertical="center" shrinkToFit="1"/>
      <protection locked="0"/>
    </xf>
    <xf numFmtId="0" fontId="2" fillId="36" borderId="21" xfId="0" applyFont="1" applyFill="1" applyBorder="1" applyAlignment="1" applyProtection="1">
      <alignment horizontal="center" vertical="center"/>
      <protection locked="0"/>
    </xf>
    <xf numFmtId="0" fontId="6" fillId="41" borderId="21" xfId="0" applyFont="1" applyFill="1" applyBorder="1" applyAlignment="1" applyProtection="1">
      <alignment horizontal="center" vertical="center" wrapText="1" shrinkToFit="1"/>
      <protection locked="0"/>
    </xf>
    <xf numFmtId="0" fontId="2" fillId="43" borderId="18" xfId="0" applyFont="1" applyFill="1" applyBorder="1" applyAlignment="1" applyProtection="1">
      <alignment horizontal="center" vertical="center"/>
      <protection/>
    </xf>
    <xf numFmtId="0" fontId="2" fillId="43" borderId="11" xfId="0" applyFont="1" applyFill="1" applyBorder="1" applyAlignment="1" applyProtection="1">
      <alignment horizontal="center" vertical="center"/>
      <protection/>
    </xf>
    <xf numFmtId="0" fontId="2" fillId="43" borderId="19" xfId="0" applyFont="1" applyFill="1" applyBorder="1" applyAlignment="1" applyProtection="1">
      <alignment horizontal="center" vertical="center"/>
      <protection/>
    </xf>
    <xf numFmtId="0" fontId="2" fillId="41" borderId="12" xfId="0" applyFont="1" applyFill="1" applyBorder="1" applyAlignment="1" applyProtection="1">
      <alignment horizontal="center" vertical="center"/>
      <protection/>
    </xf>
    <xf numFmtId="0" fontId="2" fillId="41" borderId="13" xfId="0" applyFont="1" applyFill="1" applyBorder="1" applyAlignment="1" applyProtection="1">
      <alignment horizontal="center" vertical="center"/>
      <protection/>
    </xf>
    <xf numFmtId="0" fontId="2" fillId="41" borderId="80" xfId="0" applyFont="1" applyFill="1" applyBorder="1" applyAlignment="1" applyProtection="1">
      <alignment horizontal="center" vertical="center"/>
      <protection/>
    </xf>
    <xf numFmtId="0" fontId="6" fillId="47" borderId="12" xfId="0" applyFont="1" applyFill="1" applyBorder="1" applyAlignment="1" applyProtection="1">
      <alignment horizontal="center" vertical="center"/>
      <protection/>
    </xf>
    <xf numFmtId="0" fontId="4" fillId="47" borderId="0" xfId="0" applyFont="1" applyFill="1" applyBorder="1" applyAlignment="1" applyProtection="1">
      <alignment horizontal="center" vertical="center"/>
      <protection/>
    </xf>
    <xf numFmtId="0" fontId="4" fillId="47" borderId="13" xfId="0" applyFont="1" applyFill="1" applyBorder="1" applyAlignment="1" applyProtection="1">
      <alignment horizontal="center" vertical="center"/>
      <protection/>
    </xf>
    <xf numFmtId="0" fontId="4" fillId="41" borderId="77" xfId="0" applyFont="1" applyFill="1" applyBorder="1" applyAlignment="1" applyProtection="1">
      <alignment horizontal="center" vertical="center"/>
      <protection/>
    </xf>
    <xf numFmtId="0" fontId="4" fillId="0" borderId="21" xfId="0" applyFont="1" applyFill="1" applyBorder="1" applyAlignment="1" applyProtection="1">
      <alignment horizontal="center" vertical="center" shrinkToFit="1"/>
      <protection/>
    </xf>
    <xf numFmtId="0" fontId="2" fillId="41" borderId="96" xfId="0" applyFont="1" applyFill="1" applyBorder="1" applyAlignment="1" applyProtection="1">
      <alignment horizontal="center" vertical="center"/>
      <protection/>
    </xf>
    <xf numFmtId="0" fontId="2" fillId="41" borderId="97" xfId="0" applyFont="1" applyFill="1" applyBorder="1" applyAlignment="1" applyProtection="1">
      <alignment horizontal="center" vertical="center"/>
      <protection/>
    </xf>
    <xf numFmtId="0" fontId="2" fillId="41" borderId="0" xfId="0" applyFont="1" applyFill="1" applyBorder="1" applyAlignment="1" applyProtection="1">
      <alignment horizontal="center" vertical="center"/>
      <protection/>
    </xf>
    <xf numFmtId="0" fontId="2" fillId="41" borderId="81" xfId="0" applyFont="1" applyFill="1" applyBorder="1" applyAlignment="1" applyProtection="1">
      <alignment horizontal="center" vertical="center"/>
      <protection/>
    </xf>
    <xf numFmtId="0" fontId="2" fillId="41" borderId="46" xfId="0" applyFont="1" applyFill="1" applyBorder="1" applyAlignment="1" applyProtection="1">
      <alignment horizontal="center" vertical="center"/>
      <protection/>
    </xf>
    <xf numFmtId="0" fontId="2" fillId="41" borderId="83" xfId="0" applyFont="1" applyFill="1" applyBorder="1" applyAlignment="1" applyProtection="1">
      <alignment horizontal="center" vertical="center"/>
      <protection/>
    </xf>
    <xf numFmtId="0" fontId="2" fillId="41" borderId="86" xfId="0" applyFont="1" applyFill="1" applyBorder="1" applyAlignment="1" applyProtection="1">
      <alignment horizontal="center" vertical="center"/>
      <protection/>
    </xf>
    <xf numFmtId="0" fontId="2" fillId="41" borderId="98" xfId="0" applyFont="1" applyFill="1" applyBorder="1" applyAlignment="1" applyProtection="1">
      <alignment horizontal="center" vertical="center"/>
      <protection/>
    </xf>
    <xf numFmtId="0" fontId="11" fillId="51" borderId="92" xfId="0" applyFont="1" applyFill="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41" borderId="95" xfId="0" applyFont="1" applyFill="1" applyBorder="1" applyAlignment="1" applyProtection="1">
      <alignment horizontal="center" vertical="center"/>
      <protection locked="0"/>
    </xf>
    <xf numFmtId="0" fontId="2" fillId="41" borderId="94" xfId="0" applyFont="1" applyFill="1" applyBorder="1" applyAlignment="1" applyProtection="1">
      <alignment horizontal="center" vertical="center"/>
      <protection locked="0"/>
    </xf>
    <xf numFmtId="0" fontId="2" fillId="0" borderId="12" xfId="0" applyFont="1" applyBorder="1" applyAlignment="1" applyProtection="1">
      <alignment horizontal="center" vertical="center"/>
      <protection/>
    </xf>
    <xf numFmtId="0" fontId="11" fillId="51" borderId="20" xfId="0" applyFont="1" applyFill="1" applyBorder="1" applyAlignment="1" applyProtection="1">
      <alignment horizontal="center" vertical="center"/>
      <protection/>
    </xf>
    <xf numFmtId="0" fontId="12" fillId="50" borderId="92" xfId="0" applyFont="1" applyFill="1" applyBorder="1" applyAlignment="1" applyProtection="1">
      <alignment horizontal="center" vertical="center"/>
      <protection locked="0"/>
    </xf>
    <xf numFmtId="0" fontId="2" fillId="45" borderId="86" xfId="0" applyFont="1" applyFill="1" applyBorder="1" applyAlignment="1" applyProtection="1">
      <alignment horizontal="center" vertical="center"/>
      <protection locked="0"/>
    </xf>
    <xf numFmtId="0" fontId="2" fillId="45" borderId="46" xfId="0" applyFont="1" applyFill="1" applyBorder="1" applyAlignment="1" applyProtection="1">
      <alignment horizontal="center" vertical="center"/>
      <protection locked="0"/>
    </xf>
    <xf numFmtId="0" fontId="2" fillId="45" borderId="47" xfId="0" applyFont="1" applyFill="1" applyBorder="1" applyAlignment="1" applyProtection="1">
      <alignment horizontal="center" vertical="center"/>
      <protection locked="0"/>
    </xf>
    <xf numFmtId="0" fontId="11" fillId="54" borderId="20" xfId="0" applyFont="1" applyFill="1" applyBorder="1" applyAlignment="1" applyProtection="1">
      <alignment horizontal="center" vertical="center"/>
      <protection/>
    </xf>
    <xf numFmtId="0" fontId="2" fillId="33" borderId="21" xfId="0" applyFont="1" applyFill="1" applyBorder="1" applyAlignment="1" applyProtection="1">
      <alignment horizontal="left" vertical="center"/>
      <protection locked="0"/>
    </xf>
    <xf numFmtId="0" fontId="4" fillId="43" borderId="14" xfId="0" applyFont="1" applyFill="1" applyBorder="1" applyAlignment="1" applyProtection="1">
      <alignment horizontal="center" vertical="center"/>
      <protection/>
    </xf>
    <xf numFmtId="0" fontId="4" fillId="43" borderId="18" xfId="0" applyFont="1" applyFill="1" applyBorder="1" applyAlignment="1" applyProtection="1">
      <alignment horizontal="center" vertical="center"/>
      <protection/>
    </xf>
    <xf numFmtId="0" fontId="4" fillId="43" borderId="77" xfId="0" applyFont="1" applyFill="1" applyBorder="1" applyAlignment="1" applyProtection="1">
      <alignment horizontal="center" vertical="center"/>
      <protection/>
    </xf>
    <xf numFmtId="0" fontId="2" fillId="41" borderId="63" xfId="0" applyFont="1" applyFill="1" applyBorder="1" applyAlignment="1" applyProtection="1">
      <alignment horizontal="center" vertical="center"/>
      <protection locked="0"/>
    </xf>
    <xf numFmtId="0" fontId="2" fillId="33" borderId="12" xfId="0" applyFont="1" applyFill="1" applyBorder="1" applyAlignment="1" applyProtection="1">
      <alignment horizontal="center" vertical="center"/>
      <protection/>
    </xf>
    <xf numFmtId="0" fontId="2" fillId="33" borderId="0" xfId="0"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protection/>
    </xf>
    <xf numFmtId="0" fontId="2" fillId="33" borderId="11" xfId="0" applyFont="1" applyFill="1" applyBorder="1" applyAlignment="1" applyProtection="1">
      <alignment horizontal="center" vertical="center"/>
      <protection/>
    </xf>
    <xf numFmtId="0" fontId="2" fillId="33" borderId="15" xfId="0" applyFont="1" applyFill="1" applyBorder="1" applyAlignment="1" applyProtection="1">
      <alignment horizontal="center" vertical="center"/>
      <protection/>
    </xf>
    <xf numFmtId="0" fontId="2" fillId="33" borderId="16" xfId="0" applyFont="1" applyFill="1" applyBorder="1" applyAlignment="1" applyProtection="1">
      <alignment horizontal="center" vertical="center"/>
      <protection/>
    </xf>
    <xf numFmtId="0" fontId="2" fillId="43" borderId="10" xfId="0" applyFont="1" applyFill="1" applyBorder="1" applyAlignment="1" applyProtection="1">
      <alignment horizontal="center" vertical="center"/>
      <protection/>
    </xf>
    <xf numFmtId="0" fontId="2" fillId="41" borderId="15" xfId="0" applyFont="1" applyFill="1" applyBorder="1" applyAlignment="1" applyProtection="1">
      <alignment horizontal="center" vertical="center"/>
      <protection/>
    </xf>
    <xf numFmtId="0" fontId="5" fillId="0" borderId="82" xfId="0" applyFont="1" applyBorder="1" applyAlignment="1" applyProtection="1">
      <alignment horizontal="center" vertical="center"/>
      <protection/>
    </xf>
    <xf numFmtId="0" fontId="5" fillId="0" borderId="50" xfId="0" applyFont="1" applyBorder="1" applyAlignment="1" applyProtection="1">
      <alignment horizontal="center" vertical="center"/>
      <protection/>
    </xf>
    <xf numFmtId="0" fontId="5" fillId="0" borderId="98" xfId="0" applyFont="1" applyBorder="1" applyAlignment="1" applyProtection="1">
      <alignment horizontal="center" vertical="center"/>
      <protection/>
    </xf>
    <xf numFmtId="0" fontId="10" fillId="0" borderId="99" xfId="0" applyFont="1" applyBorder="1" applyAlignment="1" applyProtection="1">
      <alignment horizontal="center" vertical="center" wrapText="1"/>
      <protection/>
    </xf>
    <xf numFmtId="0" fontId="10" fillId="0" borderId="100" xfId="0" applyFont="1" applyBorder="1" applyAlignment="1" applyProtection="1">
      <alignment horizontal="center" vertical="center" wrapText="1"/>
      <protection/>
    </xf>
    <xf numFmtId="0" fontId="12" fillId="50" borderId="92" xfId="0" applyFont="1" applyFill="1" applyBorder="1" applyAlignment="1" applyProtection="1">
      <alignment horizontal="center" vertical="center"/>
      <protection/>
    </xf>
    <xf numFmtId="0" fontId="2" fillId="41" borderId="10" xfId="0" applyFont="1" applyFill="1" applyBorder="1" applyAlignment="1" applyProtection="1">
      <alignment horizontal="center" vertical="center"/>
      <protection locked="0"/>
    </xf>
    <xf numFmtId="0" fontId="2" fillId="41" borderId="19" xfId="0" applyFont="1" applyFill="1" applyBorder="1" applyAlignment="1" applyProtection="1">
      <alignment horizontal="center" vertical="center"/>
      <protection locked="0"/>
    </xf>
    <xf numFmtId="0" fontId="2" fillId="53" borderId="20" xfId="0" applyFont="1" applyFill="1" applyBorder="1" applyAlignment="1" applyProtection="1">
      <alignment horizontal="center" vertical="center"/>
      <protection/>
    </xf>
    <xf numFmtId="0" fontId="2" fillId="51" borderId="20" xfId="0" applyFont="1" applyFill="1" applyBorder="1" applyAlignment="1" applyProtection="1">
      <alignment horizontal="center" vertical="center"/>
      <protection/>
    </xf>
    <xf numFmtId="0" fontId="2" fillId="54" borderId="20"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0" fontId="2" fillId="0" borderId="19" xfId="0" applyFont="1" applyFill="1" applyBorder="1" applyAlignment="1" applyProtection="1">
      <alignment horizontal="center" vertical="center"/>
      <protection/>
    </xf>
    <xf numFmtId="0" fontId="2" fillId="41" borderId="101" xfId="0" applyFont="1" applyFill="1" applyBorder="1" applyAlignment="1" applyProtection="1">
      <alignment horizontal="center" vertical="center"/>
      <protection/>
    </xf>
    <xf numFmtId="0" fontId="2" fillId="41" borderId="102" xfId="0" applyFont="1" applyFill="1" applyBorder="1" applyAlignment="1" applyProtection="1">
      <alignment horizontal="center" vertical="center"/>
      <protection/>
    </xf>
    <xf numFmtId="0" fontId="2" fillId="41" borderId="73" xfId="0" applyFont="1" applyFill="1" applyBorder="1" applyAlignment="1" applyProtection="1">
      <alignment horizontal="center" vertical="center"/>
      <protection/>
    </xf>
    <xf numFmtId="0" fontId="2" fillId="33" borderId="31" xfId="0" applyFont="1" applyFill="1" applyBorder="1" applyAlignment="1" applyProtection="1">
      <alignment horizontal="center" vertical="center" shrinkToFit="1"/>
      <protection/>
    </xf>
    <xf numFmtId="0" fontId="2" fillId="0" borderId="11" xfId="0" applyFont="1" applyFill="1" applyBorder="1" applyAlignment="1" applyProtection="1">
      <alignment horizontal="center" vertical="center"/>
      <protection/>
    </xf>
    <xf numFmtId="0" fontId="5" fillId="33" borderId="103" xfId="0" applyFont="1" applyFill="1" applyBorder="1" applyAlignment="1" applyProtection="1">
      <alignment horizontal="center" vertical="center" shrinkToFit="1"/>
      <protection/>
    </xf>
    <xf numFmtId="0" fontId="5" fillId="33" borderId="104" xfId="0" applyFont="1" applyFill="1" applyBorder="1" applyAlignment="1" applyProtection="1">
      <alignment horizontal="center" vertical="center" shrinkToFit="1"/>
      <protection/>
    </xf>
    <xf numFmtId="0" fontId="5" fillId="33" borderId="105" xfId="0" applyFont="1" applyFill="1" applyBorder="1" applyAlignment="1" applyProtection="1">
      <alignment horizontal="center" vertical="center" shrinkToFit="1"/>
      <protection/>
    </xf>
    <xf numFmtId="0" fontId="2" fillId="33" borderId="15" xfId="0" applyFont="1" applyFill="1" applyBorder="1" applyAlignment="1" applyProtection="1">
      <alignment horizontal="center" vertical="center" shrinkToFit="1"/>
      <protection/>
    </xf>
    <xf numFmtId="0" fontId="2" fillId="33" borderId="16" xfId="0" applyFont="1" applyFill="1" applyBorder="1" applyAlignment="1" applyProtection="1">
      <alignment horizontal="center" vertical="center" shrinkToFit="1"/>
      <protection/>
    </xf>
    <xf numFmtId="0" fontId="2" fillId="33" borderId="106" xfId="0" applyFont="1" applyFill="1" applyBorder="1" applyAlignment="1" applyProtection="1">
      <alignment horizontal="center" vertical="center" shrinkToFit="1"/>
      <protection/>
    </xf>
    <xf numFmtId="0" fontId="5" fillId="41" borderId="107" xfId="0" applyFont="1" applyFill="1" applyBorder="1" applyAlignment="1" applyProtection="1">
      <alignment horizontal="center" vertical="center"/>
      <protection/>
    </xf>
    <xf numFmtId="0" fontId="5" fillId="41" borderId="104" xfId="0" applyFont="1" applyFill="1" applyBorder="1" applyAlignment="1" applyProtection="1">
      <alignment horizontal="center" vertical="center"/>
      <protection/>
    </xf>
    <xf numFmtId="0" fontId="5" fillId="41" borderId="105" xfId="0" applyFont="1" applyFill="1" applyBorder="1" applyAlignment="1" applyProtection="1">
      <alignment horizontal="center" vertical="center"/>
      <protection/>
    </xf>
    <xf numFmtId="0" fontId="2" fillId="33" borderId="108" xfId="0" applyFont="1" applyFill="1" applyBorder="1" applyAlignment="1" applyProtection="1">
      <alignment horizontal="center" vertical="center"/>
      <protection/>
    </xf>
    <xf numFmtId="0" fontId="2" fillId="41" borderId="107" xfId="0" applyFont="1" applyFill="1" applyBorder="1" applyAlignment="1" applyProtection="1">
      <alignment horizontal="center" vertical="center"/>
      <protection/>
    </xf>
    <xf numFmtId="0" fontId="2" fillId="35" borderId="108" xfId="0" applyFont="1" applyFill="1" applyBorder="1" applyAlignment="1" applyProtection="1">
      <alignment horizontal="center" vertical="center"/>
      <protection/>
    </xf>
    <xf numFmtId="0" fontId="2" fillId="41" borderId="64" xfId="0" applyFont="1" applyFill="1" applyBorder="1" applyAlignment="1" applyProtection="1">
      <alignment horizontal="center" vertical="center"/>
      <protection/>
    </xf>
    <xf numFmtId="0" fontId="2" fillId="35" borderId="21" xfId="0" applyFont="1" applyFill="1" applyBorder="1" applyAlignment="1" applyProtection="1">
      <alignment horizontal="center" vertical="center"/>
      <protection/>
    </xf>
    <xf numFmtId="0" fontId="2" fillId="43" borderId="108" xfId="0" applyFont="1" applyFill="1" applyBorder="1" applyAlignment="1" applyProtection="1">
      <alignment horizontal="center" vertical="center"/>
      <protection/>
    </xf>
    <xf numFmtId="0" fontId="2" fillId="43" borderId="109" xfId="0" applyFont="1" applyFill="1" applyBorder="1" applyAlignment="1" applyProtection="1">
      <alignment horizontal="center" vertical="center"/>
      <protection/>
    </xf>
    <xf numFmtId="0" fontId="2" fillId="0" borderId="20" xfId="0" applyFont="1" applyFill="1" applyBorder="1" applyAlignment="1" applyProtection="1">
      <alignment horizontal="center" vertical="center"/>
      <protection/>
    </xf>
    <xf numFmtId="0" fontId="2" fillId="0" borderId="20" xfId="0" applyFont="1" applyFill="1" applyBorder="1" applyAlignment="1" applyProtection="1">
      <alignment horizontal="center" vertical="center" shrinkToFit="1"/>
      <protection/>
    </xf>
    <xf numFmtId="0" fontId="2" fillId="41" borderId="108" xfId="0" applyFont="1" applyFill="1" applyBorder="1" applyAlignment="1" applyProtection="1">
      <alignment horizontal="center" vertical="center"/>
      <protection/>
    </xf>
    <xf numFmtId="0" fontId="2" fillId="43" borderId="64" xfId="0" applyFont="1" applyFill="1" applyBorder="1" applyAlignment="1" applyProtection="1">
      <alignment horizontal="center" vertical="center"/>
      <protection/>
    </xf>
    <xf numFmtId="0" fontId="4" fillId="39" borderId="14" xfId="0" applyFont="1" applyFill="1" applyBorder="1" applyAlignment="1">
      <alignment horizontal="center" vertical="center"/>
    </xf>
    <xf numFmtId="0" fontId="0" fillId="0" borderId="77" xfId="0" applyBorder="1" applyAlignment="1">
      <alignment horizontal="center" vertical="center"/>
    </xf>
    <xf numFmtId="0" fontId="2" fillId="0" borderId="18" xfId="0" applyFont="1" applyFill="1" applyBorder="1" applyAlignment="1" applyProtection="1">
      <alignment horizontal="center" vertical="center"/>
      <protection/>
    </xf>
    <xf numFmtId="0" fontId="2" fillId="0" borderId="77" xfId="0"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0" borderId="17" xfId="0" applyFont="1" applyFill="1" applyBorder="1" applyAlignment="1" applyProtection="1">
      <alignment horizontal="center" vertical="center" wrapText="1"/>
      <protection/>
    </xf>
    <xf numFmtId="0" fontId="2" fillId="43" borderId="15" xfId="0" applyFont="1" applyFill="1" applyBorder="1" applyAlignment="1" applyProtection="1">
      <alignment horizontal="center" vertical="center"/>
      <protection/>
    </xf>
    <xf numFmtId="0" fontId="2" fillId="43" borderId="17" xfId="0" applyFont="1" applyFill="1" applyBorder="1" applyAlignment="1" applyProtection="1">
      <alignment horizontal="center" vertical="center"/>
      <protection/>
    </xf>
    <xf numFmtId="49" fontId="2" fillId="33" borderId="18" xfId="0" applyNumberFormat="1" applyFont="1" applyFill="1" applyBorder="1" applyAlignment="1" applyProtection="1">
      <alignment horizontal="left" vertical="center"/>
      <protection/>
    </xf>
    <xf numFmtId="49" fontId="2" fillId="33" borderId="77" xfId="0" applyNumberFormat="1" applyFont="1" applyFill="1" applyBorder="1" applyAlignment="1" applyProtection="1">
      <alignment horizontal="left" vertical="center"/>
      <protection/>
    </xf>
    <xf numFmtId="0" fontId="4" fillId="43" borderId="18" xfId="0" applyNumberFormat="1" applyFont="1" applyFill="1" applyBorder="1" applyAlignment="1" applyProtection="1">
      <alignment horizontal="center" vertical="center"/>
      <protection/>
    </xf>
    <xf numFmtId="0" fontId="4" fillId="43" borderId="77" xfId="0" applyNumberFormat="1"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protection/>
    </xf>
    <xf numFmtId="0" fontId="2" fillId="0" borderId="13" xfId="0" applyFont="1" applyFill="1" applyBorder="1" applyAlignment="1" applyProtection="1">
      <alignment horizontal="center" vertical="center"/>
      <protection/>
    </xf>
    <xf numFmtId="0" fontId="2" fillId="0" borderId="15" xfId="0" applyFont="1" applyFill="1" applyBorder="1" applyAlignment="1" applyProtection="1">
      <alignment horizontal="center" vertical="center"/>
      <protection/>
    </xf>
    <xf numFmtId="0" fontId="2" fillId="0" borderId="16" xfId="0" applyFont="1" applyFill="1" applyBorder="1" applyAlignment="1" applyProtection="1">
      <alignment horizontal="center" vertical="center"/>
      <protection/>
    </xf>
    <xf numFmtId="0" fontId="2" fillId="0" borderId="17" xfId="0" applyFont="1" applyFill="1" applyBorder="1" applyAlignment="1" applyProtection="1">
      <alignment horizontal="center" vertical="center"/>
      <protection/>
    </xf>
    <xf numFmtId="9" fontId="2" fillId="43" borderId="21" xfId="42" applyFont="1" applyFill="1" applyBorder="1" applyAlignment="1" applyProtection="1">
      <alignment horizontal="center" vertical="center"/>
      <protection/>
    </xf>
    <xf numFmtId="0" fontId="6" fillId="0" borderId="77" xfId="0" applyFont="1" applyFill="1" applyBorder="1" applyAlignment="1">
      <alignment horizontal="center" vertical="center" shrinkToFit="1"/>
    </xf>
    <xf numFmtId="0" fontId="2" fillId="41" borderId="21" xfId="0" applyNumberFormat="1" applyFont="1" applyFill="1" applyBorder="1" applyAlignment="1" applyProtection="1">
      <alignment horizontal="center" vertical="center" shrinkToFit="1"/>
      <protection/>
    </xf>
    <xf numFmtId="0" fontId="5" fillId="41" borderId="21" xfId="0" applyFont="1" applyFill="1" applyBorder="1" applyAlignment="1" applyProtection="1">
      <alignment horizontal="center" vertical="center"/>
      <protection/>
    </xf>
    <xf numFmtId="0" fontId="10" fillId="0" borderId="21" xfId="0" applyFont="1" applyBorder="1" applyAlignment="1" applyProtection="1">
      <alignment horizontal="center" vertical="center" wrapText="1"/>
      <protection/>
    </xf>
    <xf numFmtId="0" fontId="4" fillId="36" borderId="21" xfId="0" applyFont="1" applyFill="1" applyBorder="1" applyAlignment="1" applyProtection="1">
      <alignment horizontal="center" vertical="center" wrapText="1"/>
      <protection/>
    </xf>
    <xf numFmtId="0" fontId="6" fillId="0" borderId="21" xfId="0" applyFont="1" applyBorder="1" applyAlignment="1" applyProtection="1">
      <alignment horizontal="center" vertical="center" wrapText="1" shrinkToFit="1"/>
      <protection/>
    </xf>
    <xf numFmtId="0" fontId="10" fillId="0" borderId="21" xfId="0" applyFont="1" applyBorder="1" applyAlignment="1" applyProtection="1">
      <alignment horizontal="center" vertical="center" wrapText="1" shrinkToFit="1"/>
      <protection/>
    </xf>
    <xf numFmtId="0" fontId="14" fillId="0" borderId="21" xfId="0" applyFont="1" applyBorder="1" applyAlignment="1" applyProtection="1">
      <alignment horizontal="center" vertical="center" wrapText="1"/>
      <protection/>
    </xf>
    <xf numFmtId="0" fontId="2" fillId="33" borderId="21" xfId="0" applyNumberFormat="1" applyFont="1" applyFill="1" applyBorder="1" applyAlignment="1" applyProtection="1">
      <alignment horizontal="center" vertical="center" shrinkToFit="1"/>
      <protection/>
    </xf>
    <xf numFmtId="0" fontId="4" fillId="35" borderId="21" xfId="0" applyFont="1" applyFill="1" applyBorder="1" applyAlignment="1" applyProtection="1">
      <alignment horizontal="center" vertical="center" wrapText="1"/>
      <protection/>
    </xf>
    <xf numFmtId="0" fontId="4" fillId="0" borderId="21" xfId="0" applyFont="1" applyBorder="1" applyAlignment="1" applyProtection="1">
      <alignment horizontal="center" vertical="center" wrapText="1" shrinkToFit="1"/>
      <protection/>
    </xf>
    <xf numFmtId="0" fontId="6" fillId="0" borderId="21" xfId="0" applyFont="1" applyFill="1" applyBorder="1" applyAlignment="1" applyProtection="1">
      <alignment horizontal="center" vertical="center" wrapText="1" shrinkToFit="1"/>
      <protection/>
    </xf>
    <xf numFmtId="0" fontId="10" fillId="0" borderId="21" xfId="0" applyFont="1" applyFill="1" applyBorder="1" applyAlignment="1" applyProtection="1">
      <alignment horizontal="center" vertical="center" wrapText="1" shrinkToFit="1"/>
      <protection/>
    </xf>
    <xf numFmtId="0" fontId="15" fillId="0" borderId="21" xfId="0" applyFont="1" applyFill="1" applyBorder="1" applyAlignment="1" applyProtection="1">
      <alignment horizontal="center" vertical="center" wrapText="1" shrinkToFit="1"/>
      <protection/>
    </xf>
    <xf numFmtId="0" fontId="2" fillId="41" borderId="21" xfId="0" applyNumberFormat="1" applyFont="1" applyFill="1" applyBorder="1" applyAlignment="1" applyProtection="1">
      <alignment horizontal="center" vertical="center"/>
      <protection/>
    </xf>
    <xf numFmtId="0" fontId="2" fillId="33" borderId="21" xfId="0" applyNumberFormat="1" applyFont="1" applyFill="1" applyBorder="1" applyAlignment="1" applyProtection="1">
      <alignment horizontal="center" vertical="center"/>
      <protection/>
    </xf>
    <xf numFmtId="0" fontId="7" fillId="0" borderId="21" xfId="0" applyFont="1" applyBorder="1" applyAlignment="1" applyProtection="1">
      <alignment horizontal="center" vertical="center" wrapText="1" shrinkToFit="1"/>
      <protection/>
    </xf>
    <xf numFmtId="49" fontId="2" fillId="33" borderId="21" xfId="0" applyNumberFormat="1" applyFont="1" applyFill="1" applyBorder="1" applyAlignment="1" applyProtection="1" quotePrefix="1">
      <alignment horizontal="center" vertical="center"/>
      <protection/>
    </xf>
    <xf numFmtId="49" fontId="2" fillId="33" borderId="21" xfId="0" applyNumberFormat="1" applyFont="1" applyFill="1" applyBorder="1" applyAlignment="1" applyProtection="1">
      <alignment horizontal="center" vertical="center"/>
      <protection/>
    </xf>
    <xf numFmtId="0" fontId="7" fillId="0" borderId="21" xfId="0" applyFont="1" applyBorder="1" applyAlignment="1" applyProtection="1">
      <alignment horizontal="center" vertical="center" wrapText="1"/>
      <protection/>
    </xf>
    <xf numFmtId="0" fontId="6" fillId="0" borderId="21" xfId="0" applyFont="1" applyBorder="1" applyAlignment="1" applyProtection="1">
      <alignment horizontal="center" vertical="center" wrapText="1"/>
      <protection/>
    </xf>
    <xf numFmtId="0" fontId="16" fillId="33" borderId="14" xfId="0" applyFont="1" applyFill="1" applyBorder="1" applyAlignment="1" applyProtection="1">
      <alignment horizontal="center" vertical="center"/>
      <protection/>
    </xf>
    <xf numFmtId="0" fontId="16" fillId="33" borderId="77" xfId="0" applyFont="1" applyFill="1" applyBorder="1" applyAlignment="1" applyProtection="1">
      <alignment horizontal="center" vertical="center"/>
      <protection/>
    </xf>
    <xf numFmtId="0" fontId="2" fillId="41" borderId="21" xfId="0" applyNumberFormat="1" applyFont="1" applyFill="1" applyBorder="1" applyAlignment="1" applyProtection="1">
      <alignment horizontal="left" vertical="center"/>
      <protection/>
    </xf>
    <xf numFmtId="49" fontId="2" fillId="33" borderId="21" xfId="0" applyNumberFormat="1" applyFont="1" applyFill="1" applyBorder="1" applyAlignment="1" applyProtection="1">
      <alignment horizontal="left" vertical="center"/>
      <protection/>
    </xf>
    <xf numFmtId="0" fontId="2" fillId="41" borderId="21" xfId="58" applyNumberFormat="1" applyFont="1" applyFill="1" applyBorder="1" applyAlignment="1" applyProtection="1">
      <alignment horizontal="center" vertical="center"/>
      <protection/>
    </xf>
    <xf numFmtId="0" fontId="4" fillId="0" borderId="14" xfId="0" applyFont="1" applyBorder="1" applyAlignment="1" applyProtection="1">
      <alignment horizontal="center" vertical="center" wrapText="1"/>
      <protection/>
    </xf>
    <xf numFmtId="0" fontId="4" fillId="0" borderId="77" xfId="0" applyFont="1" applyBorder="1" applyAlignment="1" applyProtection="1">
      <alignment horizontal="center" vertical="center" wrapText="1"/>
      <protection/>
    </xf>
    <xf numFmtId="0" fontId="2" fillId="0" borderId="10" xfId="0" applyFont="1" applyFill="1" applyBorder="1" applyAlignment="1" applyProtection="1">
      <alignment horizontal="center" vertical="center" shrinkToFit="1"/>
      <protection/>
    </xf>
    <xf numFmtId="0" fontId="2" fillId="0" borderId="19" xfId="0" applyFont="1" applyFill="1" applyBorder="1" applyAlignment="1" applyProtection="1">
      <alignment horizontal="center" vertical="center" shrinkToFit="1"/>
      <protection/>
    </xf>
    <xf numFmtId="0" fontId="2" fillId="35" borderId="20"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5" fillId="41" borderId="15" xfId="0" applyFont="1" applyFill="1" applyBorder="1" applyAlignment="1" applyProtection="1">
      <alignment horizontal="center" vertical="center"/>
      <protection/>
    </xf>
    <xf numFmtId="0" fontId="5" fillId="41" borderId="16" xfId="0" applyFont="1" applyFill="1" applyBorder="1" applyAlignment="1" applyProtection="1">
      <alignment horizontal="center" vertical="center"/>
      <protection/>
    </xf>
    <xf numFmtId="0" fontId="5" fillId="41" borderId="17" xfId="0" applyFont="1" applyFill="1" applyBorder="1" applyAlignment="1" applyProtection="1">
      <alignment horizontal="center" vertical="center"/>
      <protection/>
    </xf>
    <xf numFmtId="0" fontId="2" fillId="0" borderId="21" xfId="0" applyFont="1" applyFill="1" applyBorder="1" applyAlignment="1" applyProtection="1">
      <alignment horizontal="center" vertical="center" shrinkToFit="1"/>
      <protection/>
    </xf>
    <xf numFmtId="0" fontId="10" fillId="0" borderId="14" xfId="0" applyFont="1" applyBorder="1" applyAlignment="1" applyProtection="1">
      <alignment horizontal="center" vertical="center" wrapText="1"/>
      <protection/>
    </xf>
    <xf numFmtId="0" fontId="10" fillId="0" borderId="18" xfId="0" applyFont="1" applyBorder="1" applyAlignment="1" applyProtection="1">
      <alignment horizontal="center" vertical="center" wrapText="1"/>
      <protection/>
    </xf>
    <xf numFmtId="0" fontId="10" fillId="0" borderId="77" xfId="0" applyFont="1" applyBorder="1" applyAlignment="1" applyProtection="1">
      <alignment horizontal="center" vertical="center" wrapText="1"/>
      <protection/>
    </xf>
    <xf numFmtId="0" fontId="4" fillId="0" borderId="12" xfId="0" applyFont="1" applyBorder="1" applyAlignment="1">
      <alignment horizontal="right" vertical="center"/>
    </xf>
    <xf numFmtId="0" fontId="4" fillId="0" borderId="0" xfId="0" applyFont="1" applyBorder="1" applyAlignment="1">
      <alignment horizontal="right" vertical="center"/>
    </xf>
    <xf numFmtId="0" fontId="4" fillId="0" borderId="49" xfId="0" applyFont="1" applyBorder="1" applyAlignment="1">
      <alignment horizontal="right" vertical="center"/>
    </xf>
    <xf numFmtId="0" fontId="8" fillId="55" borderId="110" xfId="0" applyFont="1" applyFill="1" applyBorder="1" applyAlignment="1" applyProtection="1">
      <alignment horizontal="center" vertical="center"/>
      <protection/>
    </xf>
    <xf numFmtId="0" fontId="8" fillId="55" borderId="111" xfId="0" applyFont="1" applyFill="1" applyBorder="1" applyAlignment="1" applyProtection="1">
      <alignment horizontal="center" vertical="center"/>
      <protection/>
    </xf>
    <xf numFmtId="0" fontId="8" fillId="55" borderId="112" xfId="0" applyFont="1" applyFill="1" applyBorder="1" applyAlignment="1" applyProtection="1">
      <alignment horizontal="center" vertical="center"/>
      <protection/>
    </xf>
    <xf numFmtId="0" fontId="4" fillId="0" borderId="86" xfId="0" applyFont="1" applyBorder="1" applyAlignment="1">
      <alignment horizontal="center" vertical="center"/>
    </xf>
    <xf numFmtId="0" fontId="4" fillId="0" borderId="83" xfId="0" applyFont="1" applyBorder="1" applyAlignment="1">
      <alignment horizontal="center" vertical="center"/>
    </xf>
    <xf numFmtId="0" fontId="4" fillId="0" borderId="45" xfId="0" applyFont="1" applyBorder="1" applyAlignment="1">
      <alignment horizontal="center" vertical="center"/>
    </xf>
    <xf numFmtId="0" fontId="4" fillId="41" borderId="87" xfId="0" applyFont="1" applyFill="1" applyBorder="1" applyAlignment="1" applyProtection="1">
      <alignment horizontal="center" vertical="center"/>
      <protection/>
    </xf>
    <xf numFmtId="0" fontId="4" fillId="41" borderId="100" xfId="0" applyFont="1" applyFill="1" applyBorder="1" applyAlignment="1" applyProtection="1">
      <alignment horizontal="center" vertical="center"/>
      <protection/>
    </xf>
    <xf numFmtId="0" fontId="4" fillId="41" borderId="78" xfId="0" applyFont="1" applyFill="1" applyBorder="1" applyAlignment="1" applyProtection="1">
      <alignment horizontal="center" vertical="center"/>
      <protection/>
    </xf>
    <xf numFmtId="0" fontId="4" fillId="0" borderId="48" xfId="0" applyFont="1" applyBorder="1" applyAlignment="1">
      <alignment horizontal="center" vertical="center"/>
    </xf>
    <xf numFmtId="0" fontId="4" fillId="0" borderId="13" xfId="0" applyFont="1" applyBorder="1" applyAlignment="1">
      <alignment horizontal="center" vertical="center"/>
    </xf>
    <xf numFmtId="0" fontId="4" fillId="0" borderId="90" xfId="0" applyFont="1" applyBorder="1" applyAlignment="1">
      <alignment horizontal="center" vertical="center"/>
    </xf>
    <xf numFmtId="0" fontId="4" fillId="0" borderId="94" xfId="0" applyFont="1" applyBorder="1" applyAlignment="1">
      <alignment horizontal="center" vertical="center"/>
    </xf>
    <xf numFmtId="0" fontId="4" fillId="0" borderId="12" xfId="0" applyFont="1" applyBorder="1" applyAlignment="1">
      <alignment horizontal="center" vertical="center"/>
    </xf>
    <xf numFmtId="0" fontId="4" fillId="0" borderId="95" xfId="0" applyFont="1" applyBorder="1" applyAlignment="1">
      <alignment horizontal="center" vertical="center"/>
    </xf>
    <xf numFmtId="0" fontId="4" fillId="0" borderId="47" xfId="0" applyFont="1" applyBorder="1" applyAlignment="1">
      <alignment horizontal="center" vertical="center"/>
    </xf>
    <xf numFmtId="0" fontId="4" fillId="0" borderId="49" xfId="0" applyFont="1" applyBorder="1" applyAlignment="1">
      <alignment horizontal="center" vertical="center"/>
    </xf>
    <xf numFmtId="0" fontId="4" fillId="0" borderId="93" xfId="0" applyFont="1" applyBorder="1" applyAlignment="1">
      <alignment horizontal="center" vertical="center"/>
    </xf>
    <xf numFmtId="0" fontId="4" fillId="0" borderId="113" xfId="0" applyFont="1" applyBorder="1" applyAlignment="1">
      <alignment horizontal="center" vertical="center" shrinkToFit="1"/>
    </xf>
    <xf numFmtId="0" fontId="4" fillId="0" borderId="65"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64" xfId="0" applyFont="1" applyBorder="1" applyAlignment="1">
      <alignment horizontal="center" vertical="center" shrinkToFit="1"/>
    </xf>
    <xf numFmtId="0" fontId="0" fillId="0" borderId="13" xfId="0" applyBorder="1" applyAlignment="1">
      <alignment horizontal="center" vertical="center"/>
    </xf>
    <xf numFmtId="0" fontId="0" fillId="0" borderId="73"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21" fillId="0" borderId="114" xfId="0" applyFont="1" applyFill="1" applyBorder="1" applyAlignment="1">
      <alignment horizontal="center" vertical="center" wrapText="1"/>
    </xf>
    <xf numFmtId="0" fontId="21" fillId="0" borderId="106" xfId="0" applyFont="1" applyFill="1" applyBorder="1" applyAlignment="1">
      <alignment horizontal="center" vertical="center" wrapText="1"/>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22" fillId="0" borderId="19" xfId="0" applyFont="1" applyBorder="1" applyAlignment="1">
      <alignment horizontal="left" vertical="center"/>
    </xf>
    <xf numFmtId="0" fontId="22" fillId="0" borderId="17" xfId="0" applyFont="1" applyBorder="1" applyAlignment="1">
      <alignment horizontal="left" vertical="center"/>
    </xf>
    <xf numFmtId="0" fontId="20" fillId="0" borderId="11" xfId="0" applyFont="1" applyBorder="1" applyAlignment="1">
      <alignment horizontal="center" vertical="center"/>
    </xf>
    <xf numFmtId="0" fontId="20" fillId="0" borderId="16" xfId="0" applyFont="1" applyBorder="1" applyAlignment="1">
      <alignment horizontal="center" vertical="center"/>
    </xf>
    <xf numFmtId="0" fontId="4" fillId="44" borderId="95" xfId="0" applyFont="1" applyFill="1" applyBorder="1" applyAlignment="1" applyProtection="1">
      <alignment horizontal="center" vertical="center" shrinkToFit="1"/>
      <protection locked="0"/>
    </xf>
    <xf numFmtId="0" fontId="4" fillId="44" borderId="94" xfId="0" applyFont="1" applyFill="1" applyBorder="1" applyAlignment="1" applyProtection="1">
      <alignment horizontal="center" vertical="center" shrinkToFit="1"/>
      <protection locked="0"/>
    </xf>
    <xf numFmtId="0" fontId="4" fillId="44" borderId="93" xfId="0" applyFont="1" applyFill="1" applyBorder="1" applyAlignment="1" applyProtection="1">
      <alignment horizontal="center" vertical="center" shrinkToFit="1"/>
      <protection locked="0"/>
    </xf>
    <xf numFmtId="0" fontId="4" fillId="44" borderId="84" xfId="0" applyFont="1" applyFill="1" applyBorder="1" applyAlignment="1" applyProtection="1">
      <alignment horizontal="center" vertical="center" shrinkToFit="1"/>
      <protection locked="0"/>
    </xf>
    <xf numFmtId="0" fontId="4" fillId="44" borderId="90" xfId="0" applyFont="1" applyFill="1" applyBorder="1" applyAlignment="1" applyProtection="1">
      <alignment horizontal="center" vertical="center" shrinkToFit="1"/>
      <protection locked="0"/>
    </xf>
    <xf numFmtId="0" fontId="0" fillId="0" borderId="49" xfId="0" applyBorder="1" applyAlignment="1">
      <alignment horizontal="center" vertical="center"/>
    </xf>
    <xf numFmtId="0" fontId="0" fillId="0" borderId="106" xfId="0" applyBorder="1" applyAlignment="1">
      <alignment horizontal="center" vertical="center"/>
    </xf>
    <xf numFmtId="0" fontId="4" fillId="41" borderId="79" xfId="0" applyFont="1" applyFill="1" applyBorder="1" applyAlignment="1" applyProtection="1">
      <alignment horizontal="center" vertical="center"/>
      <protection/>
    </xf>
    <xf numFmtId="0" fontId="8" fillId="55" borderId="18" xfId="0" applyFont="1" applyFill="1" applyBorder="1" applyAlignment="1" applyProtection="1">
      <alignment horizontal="center" vertical="center"/>
      <protection/>
    </xf>
    <xf numFmtId="0" fontId="8" fillId="55" borderId="115" xfId="0" applyFont="1" applyFill="1" applyBorder="1" applyAlignment="1" applyProtection="1">
      <alignment horizontal="center" vertical="center"/>
      <protection/>
    </xf>
    <xf numFmtId="0" fontId="8" fillId="55" borderId="116" xfId="0" applyFont="1" applyFill="1" applyBorder="1" applyAlignment="1" applyProtection="1">
      <alignment horizontal="center" vertical="center"/>
      <protection/>
    </xf>
    <xf numFmtId="0" fontId="6" fillId="41" borderId="85" xfId="0" applyFont="1" applyFill="1" applyBorder="1" applyAlignment="1" applyProtection="1">
      <alignment horizontal="center" vertical="center" shrinkToFit="1"/>
      <protection/>
    </xf>
    <xf numFmtId="0" fontId="6" fillId="41" borderId="117" xfId="0" applyFont="1" applyFill="1" applyBorder="1" applyAlignment="1" applyProtection="1">
      <alignment horizontal="center" vertical="center" shrinkToFit="1"/>
      <protection/>
    </xf>
    <xf numFmtId="0" fontId="6" fillId="41" borderId="118" xfId="0" applyFont="1" applyFill="1" applyBorder="1" applyAlignment="1" applyProtection="1">
      <alignment horizontal="center" vertical="center" shrinkToFit="1"/>
      <protection/>
    </xf>
    <xf numFmtId="0" fontId="6" fillId="41" borderId="119" xfId="0" applyFont="1" applyFill="1" applyBorder="1" applyAlignment="1" applyProtection="1">
      <alignment horizontal="center" vertical="center" shrinkToFit="1"/>
      <protection/>
    </xf>
    <xf numFmtId="0" fontId="6" fillId="41" borderId="120" xfId="0" applyFont="1" applyFill="1" applyBorder="1" applyAlignment="1" applyProtection="1">
      <alignment horizontal="center" vertical="center" shrinkToFit="1"/>
      <protection/>
    </xf>
    <xf numFmtId="0" fontId="4" fillId="0" borderId="0" xfId="0" applyFont="1" applyAlignment="1">
      <alignment horizontal="right"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4" fillId="0" borderId="48" xfId="0" applyFont="1" applyBorder="1" applyAlignment="1">
      <alignment horizontal="center" vertical="center" wrapText="1"/>
    </xf>
    <xf numFmtId="0" fontId="6" fillId="0" borderId="114" xfId="0" applyFont="1" applyBorder="1" applyAlignment="1">
      <alignment horizontal="center" vertical="center" wrapText="1"/>
    </xf>
    <xf numFmtId="0" fontId="6" fillId="0" borderId="106" xfId="0" applyFont="1" applyBorder="1" applyAlignment="1">
      <alignment horizontal="center" vertical="center" wrapText="1"/>
    </xf>
    <xf numFmtId="0" fontId="4" fillId="0" borderId="20" xfId="0" applyFont="1" applyBorder="1" applyAlignment="1">
      <alignment horizontal="center" vertical="center" wrapText="1" shrinkToFit="1"/>
    </xf>
    <xf numFmtId="0" fontId="4" fillId="0" borderId="64" xfId="0" applyFont="1" applyBorder="1" applyAlignment="1">
      <alignment horizontal="center" vertical="center" wrapText="1" shrinkToFit="1"/>
    </xf>
    <xf numFmtId="0" fontId="6" fillId="0" borderId="36" xfId="0" applyFont="1" applyBorder="1" applyAlignment="1">
      <alignment horizontal="center" vertical="center" wrapText="1" shrinkToFit="1"/>
    </xf>
    <xf numFmtId="0" fontId="6" fillId="0" borderId="38" xfId="0" applyFont="1" applyBorder="1" applyAlignment="1">
      <alignment horizontal="center" vertical="center" wrapText="1" shrinkToFit="1"/>
    </xf>
    <xf numFmtId="0" fontId="8" fillId="0" borderId="121" xfId="0" applyFont="1" applyBorder="1" applyAlignment="1">
      <alignment horizontal="center" vertical="center" shrinkToFit="1"/>
    </xf>
    <xf numFmtId="0" fontId="8" fillId="0" borderId="73" xfId="0" applyFont="1" applyBorder="1" applyAlignment="1">
      <alignment horizontal="center" vertical="center" shrinkToFit="1"/>
    </xf>
    <xf numFmtId="0" fontId="4" fillId="0" borderId="122" xfId="0" applyFont="1" applyBorder="1" applyAlignment="1">
      <alignment horizontal="right" vertical="center"/>
    </xf>
    <xf numFmtId="0" fontId="4" fillId="43" borderId="68" xfId="0" applyFont="1" applyFill="1" applyBorder="1" applyAlignment="1" applyProtection="1">
      <alignment horizontal="center" vertical="center"/>
      <protection locked="0"/>
    </xf>
    <xf numFmtId="0" fontId="4" fillId="43" borderId="31" xfId="0" applyFont="1" applyFill="1" applyBorder="1" applyAlignment="1" applyProtection="1">
      <alignment horizontal="center" vertical="center"/>
      <protection locked="0"/>
    </xf>
    <xf numFmtId="0" fontId="4" fillId="43" borderId="77" xfId="0" applyFont="1" applyFill="1" applyBorder="1" applyAlignment="1" applyProtection="1">
      <alignment horizontal="center" vertical="center"/>
      <protection locked="0"/>
    </xf>
    <xf numFmtId="3" fontId="4" fillId="43" borderId="20" xfId="0" applyNumberFormat="1" applyFont="1" applyFill="1" applyBorder="1" applyAlignment="1" applyProtection="1">
      <alignment vertical="center"/>
      <protection locked="0"/>
    </xf>
    <xf numFmtId="3" fontId="4" fillId="43" borderId="64" xfId="0" applyNumberFormat="1" applyFont="1" applyFill="1" applyBorder="1" applyAlignment="1" applyProtection="1">
      <alignment vertical="center"/>
      <protection locked="0"/>
    </xf>
    <xf numFmtId="38" fontId="4" fillId="0" borderId="21" xfId="49" applyNumberFormat="1" applyFont="1" applyBorder="1" applyAlignment="1" applyProtection="1">
      <alignment horizontal="center" vertical="center" shrinkToFit="1"/>
      <protection locked="0"/>
    </xf>
    <xf numFmtId="38" fontId="4" fillId="0" borderId="64" xfId="49" applyNumberFormat="1" applyFont="1" applyBorder="1" applyAlignment="1" applyProtection="1">
      <alignment horizontal="center" vertical="center" shrinkToFit="1"/>
      <protection locked="0"/>
    </xf>
    <xf numFmtId="176" fontId="4" fillId="41" borderId="21" xfId="49" applyNumberFormat="1" applyFont="1" applyFill="1" applyBorder="1" applyAlignment="1" applyProtection="1">
      <alignment horizontal="center" vertical="center" shrinkToFit="1"/>
      <protection locked="0"/>
    </xf>
    <xf numFmtId="38" fontId="4" fillId="0" borderId="10" xfId="49" applyNumberFormat="1" applyFont="1" applyFill="1" applyBorder="1" applyAlignment="1" applyProtection="1">
      <alignment horizontal="center" vertical="center" wrapText="1" shrinkToFit="1"/>
      <protection locked="0"/>
    </xf>
    <xf numFmtId="38" fontId="4" fillId="0" borderId="19" xfId="49" applyNumberFormat="1" applyFont="1" applyFill="1" applyBorder="1" applyAlignment="1" applyProtection="1">
      <alignment horizontal="center" vertical="center" wrapText="1" shrinkToFit="1"/>
      <protection locked="0"/>
    </xf>
    <xf numFmtId="38" fontId="4" fillId="0" borderId="15" xfId="49" applyNumberFormat="1" applyFont="1" applyFill="1" applyBorder="1" applyAlignment="1" applyProtection="1">
      <alignment horizontal="center" vertical="center" wrapText="1" shrinkToFit="1"/>
      <protection locked="0"/>
    </xf>
    <xf numFmtId="38" fontId="4" fillId="0" borderId="17" xfId="49" applyNumberFormat="1" applyFont="1" applyFill="1" applyBorder="1" applyAlignment="1" applyProtection="1">
      <alignment horizontal="center" vertical="center" wrapText="1" shrinkToFit="1"/>
      <protection locked="0"/>
    </xf>
    <xf numFmtId="176" fontId="4" fillId="41" borderId="21" xfId="49" applyNumberFormat="1" applyFont="1" applyFill="1" applyBorder="1" applyAlignment="1" applyProtection="1">
      <alignment horizontal="center" vertical="center" shrinkToFit="1"/>
      <protection/>
    </xf>
    <xf numFmtId="38" fontId="4" fillId="0" borderId="20" xfId="49" applyFont="1" applyFill="1" applyBorder="1" applyAlignment="1" applyProtection="1">
      <alignment horizontal="center" vertical="center" shrinkToFit="1"/>
      <protection locked="0"/>
    </xf>
    <xf numFmtId="38" fontId="4" fillId="0" borderId="64" xfId="49" applyFont="1" applyFill="1" applyBorder="1" applyAlignment="1" applyProtection="1">
      <alignment horizontal="center" vertical="center" shrinkToFit="1"/>
      <protection locked="0"/>
    </xf>
    <xf numFmtId="176" fontId="4" fillId="41" borderId="11" xfId="49" applyNumberFormat="1" applyFont="1" applyFill="1" applyBorder="1" applyAlignment="1" applyProtection="1">
      <alignment horizontal="center" vertical="center" shrinkToFit="1"/>
      <protection locked="0"/>
    </xf>
    <xf numFmtId="176" fontId="4" fillId="41" borderId="19" xfId="49" applyNumberFormat="1" applyFont="1" applyFill="1" applyBorder="1" applyAlignment="1" applyProtection="1">
      <alignment horizontal="center" vertical="center" shrinkToFit="1"/>
      <protection locked="0"/>
    </xf>
    <xf numFmtId="176" fontId="4" fillId="41" borderId="16" xfId="49" applyNumberFormat="1" applyFont="1" applyFill="1" applyBorder="1" applyAlignment="1" applyProtection="1">
      <alignment horizontal="center" vertical="center" shrinkToFit="1"/>
      <protection locked="0"/>
    </xf>
    <xf numFmtId="176" fontId="4" fillId="41" borderId="17" xfId="49" applyNumberFormat="1" applyFont="1" applyFill="1" applyBorder="1" applyAlignment="1" applyProtection="1">
      <alignment horizontal="center" vertical="center" shrinkToFit="1"/>
      <protection locked="0"/>
    </xf>
    <xf numFmtId="0" fontId="4" fillId="0" borderId="20" xfId="0" applyFont="1" applyBorder="1" applyAlignment="1" applyProtection="1">
      <alignment horizontal="left" vertical="center" wrapText="1"/>
      <protection locked="0"/>
    </xf>
    <xf numFmtId="0" fontId="4"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38" fontId="4" fillId="0" borderId="20" xfId="49" applyFont="1" applyFill="1" applyBorder="1" applyAlignment="1" applyProtection="1">
      <alignment horizontal="center" vertical="center" wrapText="1" shrinkToFit="1"/>
      <protection locked="0"/>
    </xf>
    <xf numFmtId="0" fontId="0" fillId="0" borderId="63" xfId="0" applyBorder="1" applyAlignment="1">
      <alignment/>
    </xf>
    <xf numFmtId="0" fontId="0" fillId="0" borderId="64" xfId="0" applyBorder="1" applyAlignment="1">
      <alignment/>
    </xf>
    <xf numFmtId="176" fontId="4" fillId="43" borderId="21" xfId="49" applyNumberFormat="1" applyFont="1" applyFill="1" applyBorder="1" applyAlignment="1" applyProtection="1">
      <alignment horizontal="center" vertical="center" shrinkToFit="1"/>
      <protection/>
    </xf>
    <xf numFmtId="0" fontId="4" fillId="0" borderId="14" xfId="0" applyFont="1" applyBorder="1" applyAlignment="1" applyProtection="1">
      <alignment horizontal="center" vertical="center" shrinkToFit="1"/>
      <protection locked="0"/>
    </xf>
    <xf numFmtId="0" fontId="4" fillId="0" borderId="77" xfId="0" applyFont="1" applyBorder="1" applyAlignment="1" applyProtection="1">
      <alignment horizontal="center" vertical="center" shrinkToFit="1"/>
      <protection locked="0"/>
    </xf>
    <xf numFmtId="0" fontId="6" fillId="0" borderId="34" xfId="0" applyFont="1" applyBorder="1" applyAlignment="1" applyProtection="1">
      <alignment horizontal="center" vertical="center" shrinkToFit="1"/>
      <protection locked="0"/>
    </xf>
    <xf numFmtId="0" fontId="6" fillId="0" borderId="123" xfId="0" applyFont="1" applyBorder="1" applyAlignment="1" applyProtection="1">
      <alignment horizontal="center" vertical="center" shrinkToFit="1"/>
      <protection locked="0"/>
    </xf>
    <xf numFmtId="38" fontId="4" fillId="0" borderId="21" xfId="49" applyNumberFormat="1" applyFont="1" applyFill="1" applyBorder="1" applyAlignment="1" applyProtection="1">
      <alignment horizontal="center" vertical="center" wrapText="1" shrinkToFit="1"/>
      <protection locked="0"/>
    </xf>
    <xf numFmtId="176" fontId="8" fillId="42" borderId="21" xfId="49" applyNumberFormat="1" applyFont="1" applyFill="1" applyBorder="1" applyAlignment="1" applyProtection="1">
      <alignment horizontal="center" vertical="center" shrinkToFit="1"/>
      <protection/>
    </xf>
    <xf numFmtId="0" fontId="4" fillId="0" borderId="14" xfId="0" applyFont="1" applyBorder="1" applyAlignment="1" applyProtection="1">
      <alignment horizontal="center" vertical="center"/>
      <protection locked="0"/>
    </xf>
    <xf numFmtId="0" fontId="4" fillId="0" borderId="77" xfId="0" applyFont="1" applyBorder="1" applyAlignment="1" applyProtection="1">
      <alignment horizontal="center" vertical="center"/>
      <protection locked="0"/>
    </xf>
    <xf numFmtId="38" fontId="6" fillId="0" borderId="20" xfId="49" applyFont="1" applyFill="1" applyBorder="1" applyAlignment="1" applyProtection="1">
      <alignment horizontal="center" vertical="center" wrapText="1" shrinkToFit="1"/>
      <protection locked="0"/>
    </xf>
    <xf numFmtId="38" fontId="6" fillId="0" borderId="64" xfId="49" applyFont="1" applyFill="1" applyBorder="1" applyAlignment="1" applyProtection="1">
      <alignment horizontal="center" vertical="center" wrapText="1" shrinkToFit="1"/>
      <protection locked="0"/>
    </xf>
    <xf numFmtId="176" fontId="8" fillId="42" borderId="20" xfId="49" applyNumberFormat="1" applyFont="1" applyFill="1" applyBorder="1" applyAlignment="1" applyProtection="1">
      <alignment horizontal="center" vertical="center" shrinkToFit="1"/>
      <protection/>
    </xf>
    <xf numFmtId="176" fontId="8" fillId="42" borderId="64" xfId="49" applyNumberFormat="1" applyFont="1" applyFill="1" applyBorder="1" applyAlignment="1" applyProtection="1">
      <alignment horizontal="center" vertical="center" shrinkToFit="1"/>
      <protection/>
    </xf>
    <xf numFmtId="0" fontId="6" fillId="0" borderId="124" xfId="0" applyFont="1" applyBorder="1" applyAlignment="1" applyProtection="1">
      <alignment horizontal="center" vertical="center" shrinkToFit="1"/>
      <protection locked="0"/>
    </xf>
    <xf numFmtId="0" fontId="6" fillId="0" borderId="125" xfId="0" applyFont="1" applyBorder="1" applyAlignment="1" applyProtection="1">
      <alignment horizontal="center" vertical="center" shrinkToFit="1"/>
      <protection locked="0"/>
    </xf>
    <xf numFmtId="0" fontId="4" fillId="33" borderId="32" xfId="0" applyFont="1" applyFill="1" applyBorder="1" applyAlignment="1" applyProtection="1">
      <alignment horizontal="left" vertical="center"/>
      <protection locked="0"/>
    </xf>
    <xf numFmtId="0" fontId="4" fillId="33" borderId="33" xfId="0" applyFont="1" applyFill="1" applyBorder="1" applyAlignment="1" applyProtection="1">
      <alignment horizontal="left" vertical="center"/>
      <protection locked="0"/>
    </xf>
    <xf numFmtId="0" fontId="4" fillId="41" borderId="32" xfId="0" applyFont="1" applyFill="1" applyBorder="1" applyAlignment="1" applyProtection="1">
      <alignment horizontal="left" vertical="center"/>
      <protection locked="0"/>
    </xf>
    <xf numFmtId="0" fontId="4" fillId="41" borderId="33" xfId="0" applyFont="1" applyFill="1" applyBorder="1" applyAlignment="1" applyProtection="1">
      <alignment horizontal="left" vertical="center"/>
      <protection locked="0"/>
    </xf>
    <xf numFmtId="0" fontId="4" fillId="41" borderId="34" xfId="0" applyFont="1" applyFill="1" applyBorder="1" applyAlignment="1" applyProtection="1">
      <alignment horizontal="left" vertical="center"/>
      <protection locked="0"/>
    </xf>
    <xf numFmtId="0" fontId="4" fillId="41" borderId="124" xfId="0" applyFont="1" applyFill="1" applyBorder="1" applyAlignment="1" applyProtection="1">
      <alignment horizontal="left" vertical="center"/>
      <protection locked="0"/>
    </xf>
    <xf numFmtId="0" fontId="6" fillId="0" borderId="34" xfId="0" applyFont="1" applyBorder="1" applyAlignment="1" applyProtection="1">
      <alignment horizontal="center" vertical="center"/>
      <protection locked="0"/>
    </xf>
    <xf numFmtId="0" fontId="6" fillId="0" borderId="123" xfId="0" applyFont="1" applyBorder="1" applyAlignment="1" applyProtection="1">
      <alignment horizontal="center" vertical="center"/>
      <protection locked="0"/>
    </xf>
    <xf numFmtId="0" fontId="38" fillId="0" borderId="21" xfId="0" applyFont="1" applyBorder="1" applyAlignment="1">
      <alignment horizontal="center" vertical="center" shrinkToFit="1"/>
    </xf>
    <xf numFmtId="0" fontId="13" fillId="42" borderId="10" xfId="0" applyFont="1" applyFill="1" applyBorder="1" applyAlignment="1">
      <alignment horizontal="center" vertical="center"/>
    </xf>
    <xf numFmtId="0" fontId="13" fillId="42" borderId="11" xfId="0" applyFont="1" applyFill="1" applyBorder="1" applyAlignment="1">
      <alignment horizontal="center" vertical="center"/>
    </xf>
    <xf numFmtId="0" fontId="13" fillId="42" borderId="19" xfId="0" applyFont="1" applyFill="1" applyBorder="1" applyAlignment="1">
      <alignment horizontal="center" vertical="center"/>
    </xf>
    <xf numFmtId="0" fontId="13" fillId="42" borderId="15" xfId="0" applyFont="1" applyFill="1" applyBorder="1" applyAlignment="1">
      <alignment horizontal="center" vertical="center"/>
    </xf>
    <xf numFmtId="0" fontId="13" fillId="42" borderId="16" xfId="0" applyFont="1" applyFill="1" applyBorder="1" applyAlignment="1">
      <alignment horizontal="center" vertical="center"/>
    </xf>
    <xf numFmtId="0" fontId="13" fillId="42" borderId="17" xfId="0" applyFont="1" applyFill="1" applyBorder="1" applyAlignment="1">
      <alignment horizontal="center" vertical="center"/>
    </xf>
    <xf numFmtId="0" fontId="34" fillId="0" borderId="20" xfId="0" applyFont="1" applyFill="1" applyBorder="1" applyAlignment="1">
      <alignment horizontal="center" vertical="center" shrinkToFit="1"/>
    </xf>
    <xf numFmtId="0" fontId="34" fillId="0" borderId="64" xfId="0" applyFont="1" applyFill="1" applyBorder="1" applyAlignment="1">
      <alignment horizontal="center" vertical="center" shrinkToFit="1"/>
    </xf>
    <xf numFmtId="0" fontId="84" fillId="42" borderId="77" xfId="0" applyFont="1" applyFill="1" applyBorder="1" applyAlignment="1">
      <alignment horizontal="center" vertical="center" shrinkToFit="1"/>
    </xf>
    <xf numFmtId="0" fontId="83" fillId="33" borderId="77" xfId="0" applyFont="1" applyFill="1" applyBorder="1" applyAlignment="1">
      <alignment horizontal="center" vertical="center"/>
    </xf>
    <xf numFmtId="0" fontId="83" fillId="33" borderId="21" xfId="0" applyFont="1" applyFill="1" applyBorder="1" applyAlignment="1">
      <alignment horizontal="center" vertical="center"/>
    </xf>
    <xf numFmtId="0" fontId="38" fillId="0" borderId="10" xfId="0" applyFont="1" applyBorder="1" applyAlignment="1">
      <alignment horizontal="center" vertical="center" shrinkToFit="1"/>
    </xf>
    <xf numFmtId="0" fontId="38" fillId="0" borderId="19" xfId="0" applyFont="1" applyBorder="1" applyAlignment="1">
      <alignment horizontal="center" vertical="center" shrinkToFit="1"/>
    </xf>
    <xf numFmtId="0" fontId="38" fillId="0" borderId="15" xfId="0" applyFont="1" applyBorder="1" applyAlignment="1">
      <alignment horizontal="center" vertical="center" shrinkToFit="1"/>
    </xf>
    <xf numFmtId="0" fontId="38" fillId="0" borderId="17" xfId="0" applyFont="1" applyBorder="1" applyAlignment="1">
      <alignment horizontal="center" vertical="center"/>
    </xf>
    <xf numFmtId="9" fontId="35" fillId="41" borderId="21" xfId="0" applyNumberFormat="1" applyFont="1" applyFill="1" applyBorder="1" applyAlignment="1">
      <alignment horizontal="center" vertical="center"/>
    </xf>
    <xf numFmtId="9" fontId="35" fillId="41" borderId="14" xfId="0" applyNumberFormat="1" applyFont="1" applyFill="1" applyBorder="1" applyAlignment="1">
      <alignment horizontal="center" vertical="center"/>
    </xf>
    <xf numFmtId="0" fontId="83" fillId="0" borderId="64" xfId="0" applyFont="1" applyBorder="1" applyAlignment="1">
      <alignment horizontal="center" vertical="center" shrinkToFit="1"/>
    </xf>
    <xf numFmtId="0" fontId="83" fillId="0" borderId="21" xfId="0" applyFont="1" applyBorder="1" applyAlignment="1">
      <alignment horizontal="center" vertical="center" shrinkToFit="1"/>
    </xf>
    <xf numFmtId="0" fontId="35" fillId="41" borderId="21" xfId="0" applyFont="1" applyFill="1" applyBorder="1" applyAlignment="1">
      <alignment horizontal="center" vertical="center" shrinkToFit="1"/>
    </xf>
    <xf numFmtId="0" fontId="38" fillId="0" borderId="21" xfId="0" applyFont="1" applyFill="1" applyBorder="1" applyAlignment="1">
      <alignment horizontal="center" vertical="center"/>
    </xf>
    <xf numFmtId="0" fontId="38" fillId="41" borderId="21" xfId="0" applyFont="1" applyFill="1" applyBorder="1" applyAlignment="1">
      <alignment horizontal="center" vertical="center"/>
    </xf>
    <xf numFmtId="0" fontId="34" fillId="0" borderId="21" xfId="0" applyFont="1" applyBorder="1" applyAlignment="1">
      <alignment horizontal="center" vertical="center" shrinkToFit="1"/>
    </xf>
    <xf numFmtId="0" fontId="84" fillId="41" borderId="21" xfId="0" applyFont="1" applyFill="1" applyBorder="1" applyAlignment="1">
      <alignment horizontal="center" vertical="center" shrinkToFit="1"/>
    </xf>
    <xf numFmtId="0" fontId="83" fillId="0" borderId="20" xfId="0" applyFont="1" applyBorder="1" applyAlignment="1">
      <alignment horizontal="center" vertical="center" wrapText="1" shrinkToFit="1"/>
    </xf>
    <xf numFmtId="0" fontId="83" fillId="0" borderId="63" xfId="0" applyFont="1" applyBorder="1" applyAlignment="1">
      <alignment horizontal="center" vertical="center" wrapText="1" shrinkToFit="1"/>
    </xf>
    <xf numFmtId="0" fontId="83" fillId="0" borderId="64" xfId="0" applyFont="1" applyBorder="1" applyAlignment="1">
      <alignment horizontal="center" vertical="center" wrapText="1" shrinkToFit="1"/>
    </xf>
    <xf numFmtId="0" fontId="83" fillId="0" borderId="20" xfId="0" applyFont="1" applyBorder="1" applyAlignment="1">
      <alignment horizontal="center" vertical="center" shrinkToFit="1"/>
    </xf>
    <xf numFmtId="0" fontId="13" fillId="42" borderId="20" xfId="0" applyFont="1" applyFill="1" applyBorder="1" applyAlignment="1">
      <alignment horizontal="center" vertical="center" shrinkToFit="1"/>
    </xf>
    <xf numFmtId="0" fontId="13" fillId="42" borderId="64" xfId="0" applyFont="1" applyFill="1" applyBorder="1" applyAlignment="1">
      <alignment horizontal="center" vertical="center" shrinkToFit="1"/>
    </xf>
    <xf numFmtId="0" fontId="13" fillId="0" borderId="10"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19"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16" xfId="0" applyFont="1" applyBorder="1" applyAlignment="1">
      <alignment horizontal="center" vertical="center" shrinkToFit="1"/>
    </xf>
    <xf numFmtId="0" fontId="13" fillId="0" borderId="17" xfId="0" applyFont="1" applyBorder="1" applyAlignment="1">
      <alignment horizontal="center" vertical="center" shrinkToFit="1"/>
    </xf>
    <xf numFmtId="0" fontId="35" fillId="41" borderId="20" xfId="0" applyFont="1" applyFill="1" applyBorder="1" applyAlignment="1">
      <alignment horizontal="center" vertical="center" shrinkToFit="1"/>
    </xf>
    <xf numFmtId="0" fontId="35" fillId="41" borderId="64" xfId="0" applyFont="1" applyFill="1" applyBorder="1" applyAlignment="1">
      <alignment horizontal="center" vertical="center" shrinkToFit="1"/>
    </xf>
    <xf numFmtId="0" fontId="83" fillId="33" borderId="10" xfId="0" applyFont="1" applyFill="1" applyBorder="1" applyAlignment="1">
      <alignment horizontal="center" vertical="center"/>
    </xf>
    <xf numFmtId="0" fontId="83" fillId="33" borderId="19" xfId="0" applyFont="1" applyFill="1" applyBorder="1" applyAlignment="1">
      <alignment horizontal="center" vertical="center"/>
    </xf>
    <xf numFmtId="0" fontId="83" fillId="33" borderId="15" xfId="0" applyFont="1" applyFill="1" applyBorder="1" applyAlignment="1">
      <alignment horizontal="center" vertical="center"/>
    </xf>
    <xf numFmtId="0" fontId="83" fillId="33" borderId="17" xfId="0" applyFont="1" applyFill="1" applyBorder="1" applyAlignment="1">
      <alignment horizontal="center" vertical="center"/>
    </xf>
    <xf numFmtId="0" fontId="38" fillId="47" borderId="20" xfId="0" applyFont="1" applyFill="1" applyBorder="1" applyAlignment="1">
      <alignment horizontal="center" vertical="center"/>
    </xf>
    <xf numFmtId="0" fontId="38" fillId="47" borderId="64" xfId="0" applyFont="1" applyFill="1" applyBorder="1" applyAlignment="1">
      <alignment horizontal="center" vertical="center"/>
    </xf>
    <xf numFmtId="0" fontId="38" fillId="41" borderId="20" xfId="0" applyFont="1" applyFill="1" applyBorder="1" applyAlignment="1">
      <alignment horizontal="center" vertical="center"/>
    </xf>
    <xf numFmtId="0" fontId="38" fillId="41" borderId="64" xfId="0" applyFont="1" applyFill="1" applyBorder="1" applyAlignment="1">
      <alignment horizontal="center" vertical="center"/>
    </xf>
    <xf numFmtId="0" fontId="4" fillId="0" borderId="20" xfId="0" applyFont="1" applyFill="1" applyBorder="1" applyAlignment="1">
      <alignment horizontal="center" vertical="center" shrinkToFit="1"/>
    </xf>
    <xf numFmtId="0" fontId="4" fillId="0" borderId="64" xfId="0" applyFont="1" applyFill="1" applyBorder="1" applyAlignment="1">
      <alignment horizontal="center" vertical="center" shrinkToFit="1"/>
    </xf>
    <xf numFmtId="0" fontId="4" fillId="34" borderId="20" xfId="0" applyFont="1" applyFill="1" applyBorder="1" applyAlignment="1">
      <alignment horizontal="center" vertical="center" shrinkToFit="1"/>
    </xf>
    <xf numFmtId="0" fontId="4" fillId="34" borderId="64" xfId="0" applyFont="1" applyFill="1" applyBorder="1" applyAlignment="1">
      <alignment horizontal="center" vertical="center" shrinkToFit="1"/>
    </xf>
    <xf numFmtId="0" fontId="88" fillId="43" borderId="20" xfId="0" applyFont="1" applyFill="1" applyBorder="1" applyAlignment="1">
      <alignment horizontal="center" vertical="center"/>
    </xf>
    <xf numFmtId="0" fontId="88" fillId="43" borderId="64" xfId="0" applyFont="1" applyFill="1" applyBorder="1" applyAlignment="1">
      <alignment horizontal="center" vertical="center"/>
    </xf>
    <xf numFmtId="0" fontId="2" fillId="0" borderId="20" xfId="0" applyFont="1" applyBorder="1" applyAlignment="1">
      <alignment horizontal="center" vertical="center" shrinkToFit="1"/>
    </xf>
    <xf numFmtId="0" fontId="2" fillId="0" borderId="64" xfId="0" applyFont="1" applyBorder="1" applyAlignment="1">
      <alignment horizontal="center" vertical="center" shrinkToFit="1"/>
    </xf>
    <xf numFmtId="0" fontId="84" fillId="0" borderId="20" xfId="0" applyFont="1" applyBorder="1" applyAlignment="1">
      <alignment horizontal="center" vertical="center" shrinkToFit="1"/>
    </xf>
    <xf numFmtId="0" fontId="84" fillId="0" borderId="64" xfId="0" applyFont="1" applyBorder="1" applyAlignment="1">
      <alignment horizontal="center" vertical="center" shrinkToFit="1"/>
    </xf>
    <xf numFmtId="0" fontId="86" fillId="42" borderId="10" xfId="0" applyFont="1" applyFill="1" applyBorder="1" applyAlignment="1">
      <alignment horizontal="center" vertical="center"/>
    </xf>
    <xf numFmtId="0" fontId="86" fillId="42" borderId="11" xfId="0" applyFont="1" applyFill="1" applyBorder="1" applyAlignment="1">
      <alignment horizontal="center" vertical="center"/>
    </xf>
    <xf numFmtId="0" fontId="86" fillId="42" borderId="19" xfId="0" applyFont="1" applyFill="1" applyBorder="1" applyAlignment="1">
      <alignment horizontal="center" vertical="center"/>
    </xf>
    <xf numFmtId="0" fontId="86" fillId="42" borderId="15" xfId="0" applyFont="1" applyFill="1" applyBorder="1" applyAlignment="1">
      <alignment horizontal="center" vertical="center"/>
    </xf>
    <xf numFmtId="0" fontId="86" fillId="42" borderId="16" xfId="0" applyFont="1" applyFill="1" applyBorder="1" applyAlignment="1">
      <alignment horizontal="center" vertical="center"/>
    </xf>
    <xf numFmtId="0" fontId="86" fillId="42" borderId="17" xfId="0" applyFont="1" applyFill="1" applyBorder="1" applyAlignment="1">
      <alignment horizontal="center" vertical="center"/>
    </xf>
    <xf numFmtId="0" fontId="84" fillId="42" borderId="20" xfId="0" applyFont="1" applyFill="1" applyBorder="1" applyAlignment="1">
      <alignment horizontal="center" vertical="center" shrinkToFit="1"/>
    </xf>
    <xf numFmtId="0" fontId="84" fillId="42" borderId="64" xfId="0" applyFont="1" applyFill="1" applyBorder="1" applyAlignment="1">
      <alignment horizontal="center" vertical="center" shrinkToFit="1"/>
    </xf>
    <xf numFmtId="0" fontId="38" fillId="0" borderId="20" xfId="0" applyFont="1" applyBorder="1" applyAlignment="1">
      <alignment horizontal="center" vertical="center" shrinkToFit="1"/>
    </xf>
    <xf numFmtId="0" fontId="38" fillId="0" borderId="64" xfId="0" applyFont="1" applyBorder="1" applyAlignment="1">
      <alignment horizontal="center" vertical="center" shrinkToFit="1"/>
    </xf>
    <xf numFmtId="0" fontId="87" fillId="41" borderId="10" xfId="0" applyFont="1" applyFill="1" applyBorder="1" applyAlignment="1">
      <alignment horizontal="center" vertical="center" shrinkToFit="1"/>
    </xf>
    <xf numFmtId="0" fontId="87" fillId="41" borderId="11" xfId="0" applyFont="1" applyFill="1" applyBorder="1" applyAlignment="1">
      <alignment horizontal="center" vertical="center" shrinkToFit="1"/>
    </xf>
    <xf numFmtId="0" fontId="87" fillId="41" borderId="19" xfId="0" applyFont="1" applyFill="1" applyBorder="1" applyAlignment="1">
      <alignment horizontal="center" vertical="center" shrinkToFit="1"/>
    </xf>
    <xf numFmtId="0" fontId="87" fillId="41" borderId="15" xfId="0" applyFont="1" applyFill="1" applyBorder="1" applyAlignment="1">
      <alignment horizontal="center" vertical="center" shrinkToFit="1"/>
    </xf>
    <xf numFmtId="0" fontId="87" fillId="41" borderId="16" xfId="0" applyFont="1" applyFill="1" applyBorder="1" applyAlignment="1">
      <alignment horizontal="center" vertical="center" shrinkToFit="1"/>
    </xf>
    <xf numFmtId="0" fontId="87" fillId="41" borderId="17" xfId="0" applyFont="1" applyFill="1" applyBorder="1" applyAlignment="1">
      <alignment horizontal="center" vertical="center" shrinkToFit="1"/>
    </xf>
    <xf numFmtId="0" fontId="88" fillId="41" borderId="10" xfId="0" applyFont="1" applyFill="1" applyBorder="1" applyAlignment="1">
      <alignment horizontal="center" vertical="center" shrinkToFit="1"/>
    </xf>
    <xf numFmtId="0" fontId="88" fillId="41" borderId="11" xfId="0" applyFont="1" applyFill="1" applyBorder="1" applyAlignment="1">
      <alignment horizontal="center" vertical="center" shrinkToFit="1"/>
    </xf>
    <xf numFmtId="0" fontId="88" fillId="41" borderId="19" xfId="0" applyFont="1" applyFill="1" applyBorder="1" applyAlignment="1">
      <alignment horizontal="center" vertical="center" shrinkToFit="1"/>
    </xf>
    <xf numFmtId="0" fontId="88" fillId="41" borderId="15" xfId="0" applyFont="1" applyFill="1" applyBorder="1" applyAlignment="1">
      <alignment horizontal="center" vertical="center" shrinkToFit="1"/>
    </xf>
    <xf numFmtId="0" fontId="88" fillId="41" borderId="16" xfId="0" applyFont="1" applyFill="1" applyBorder="1" applyAlignment="1">
      <alignment horizontal="center" vertical="center" shrinkToFit="1"/>
    </xf>
    <xf numFmtId="0" fontId="88" fillId="41" borderId="17" xfId="0" applyFont="1" applyFill="1" applyBorder="1" applyAlignment="1">
      <alignment horizontal="center" vertical="center" shrinkToFit="1"/>
    </xf>
    <xf numFmtId="0" fontId="13" fillId="42" borderId="10" xfId="0" applyFont="1" applyFill="1" applyBorder="1" applyAlignment="1">
      <alignment horizontal="center" vertical="center" shrinkToFit="1"/>
    </xf>
    <xf numFmtId="0" fontId="13" fillId="42" borderId="11" xfId="0" applyFont="1" applyFill="1" applyBorder="1" applyAlignment="1">
      <alignment horizontal="center" vertical="center" shrinkToFit="1"/>
    </xf>
    <xf numFmtId="0" fontId="13" fillId="42" borderId="19" xfId="0" applyFont="1" applyFill="1" applyBorder="1" applyAlignment="1">
      <alignment horizontal="center" vertical="center" shrinkToFit="1"/>
    </xf>
    <xf numFmtId="0" fontId="13" fillId="42" borderId="15" xfId="0" applyFont="1" applyFill="1" applyBorder="1" applyAlignment="1">
      <alignment horizontal="center" vertical="center" shrinkToFit="1"/>
    </xf>
    <xf numFmtId="0" fontId="13" fillId="42" borderId="16" xfId="0" applyFont="1" applyFill="1" applyBorder="1" applyAlignment="1">
      <alignment horizontal="center" vertical="center" shrinkToFit="1"/>
    </xf>
    <xf numFmtId="0" fontId="13" fillId="42" borderId="17" xfId="0" applyFont="1" applyFill="1" applyBorder="1" applyAlignment="1">
      <alignment horizontal="center" vertical="center" shrinkToFit="1"/>
    </xf>
    <xf numFmtId="0" fontId="34" fillId="0" borderId="20" xfId="0" applyFont="1" applyBorder="1" applyAlignment="1">
      <alignment horizontal="center" vertical="center" shrinkToFit="1"/>
    </xf>
    <xf numFmtId="0" fontId="34" fillId="0" borderId="64" xfId="0" applyFont="1" applyBorder="1" applyAlignment="1">
      <alignment horizontal="center" vertical="center" shrinkToFit="1"/>
    </xf>
    <xf numFmtId="0" fontId="84" fillId="41" borderId="20" xfId="0" applyFont="1" applyFill="1" applyBorder="1" applyAlignment="1">
      <alignment horizontal="center" vertical="center" shrinkToFit="1"/>
    </xf>
    <xf numFmtId="0" fontId="84" fillId="41" borderId="64" xfId="0" applyFont="1" applyFill="1" applyBorder="1" applyAlignment="1">
      <alignment horizontal="center" vertical="center" shrinkToFit="1"/>
    </xf>
    <xf numFmtId="0" fontId="101" fillId="0" borderId="126" xfId="61" applyFont="1" applyBorder="1" applyAlignment="1">
      <alignment horizontal="left" vertical="center" shrinkToFit="1"/>
      <protection/>
    </xf>
    <xf numFmtId="0" fontId="101" fillId="0" borderId="127" xfId="61" applyFont="1" applyBorder="1" applyAlignment="1">
      <alignment horizontal="left" vertical="center" shrinkToFit="1"/>
      <protection/>
    </xf>
    <xf numFmtId="0" fontId="128" fillId="50" borderId="0" xfId="61" applyFont="1" applyFill="1" applyAlignment="1" applyProtection="1">
      <alignment horizontal="center" vertical="center"/>
      <protection/>
    </xf>
    <xf numFmtId="0" fontId="130" fillId="0" borderId="0" xfId="0" applyFont="1" applyAlignment="1">
      <alignment horizontal="center" vertical="center"/>
    </xf>
    <xf numFmtId="0" fontId="129" fillId="0" borderId="0" xfId="0" applyFont="1" applyAlignment="1">
      <alignment horizontal="center" vertical="center"/>
    </xf>
    <xf numFmtId="0" fontId="130" fillId="0" borderId="0" xfId="0" applyFont="1" applyAlignment="1">
      <alignment vertical="center"/>
    </xf>
    <xf numFmtId="0" fontId="100" fillId="0" borderId="14" xfId="61" applyFont="1" applyBorder="1" applyAlignment="1" applyProtection="1">
      <alignment vertical="center" shrinkToFit="1"/>
      <protection/>
    </xf>
    <xf numFmtId="0" fontId="0" fillId="0" borderId="18" xfId="0" applyBorder="1" applyAlignment="1">
      <alignment shrinkToFit="1"/>
    </xf>
    <xf numFmtId="0" fontId="113" fillId="0" borderId="18" xfId="61" applyFont="1" applyBorder="1" applyAlignment="1" applyProtection="1">
      <alignment vertical="center" shrinkToFit="1"/>
      <protection/>
    </xf>
    <xf numFmtId="0" fontId="0" fillId="0" borderId="18" xfId="0" applyBorder="1" applyAlignment="1">
      <alignment vertical="center" shrinkToFit="1"/>
    </xf>
    <xf numFmtId="0" fontId="0" fillId="0" borderId="77" xfId="0" applyBorder="1" applyAlignment="1">
      <alignment vertical="center" shrinkToFit="1"/>
    </xf>
    <xf numFmtId="0" fontId="132" fillId="50" borderId="0" xfId="61" applyFont="1" applyFill="1" applyAlignment="1" applyProtection="1">
      <alignment horizontal="center" vertical="center" wrapText="1"/>
      <protection/>
    </xf>
    <xf numFmtId="0" fontId="111" fillId="0" borderId="0" xfId="0" applyFont="1" applyAlignment="1">
      <alignment horizontal="center" vertical="center" wrapText="1"/>
    </xf>
    <xf numFmtId="0" fontId="39" fillId="0" borderId="16" xfId="61" applyFont="1" applyBorder="1" applyAlignment="1" applyProtection="1">
      <alignment vertical="center"/>
      <protection locked="0"/>
    </xf>
    <xf numFmtId="0" fontId="108" fillId="0" borderId="0" xfId="61" applyFont="1" applyAlignment="1" applyProtection="1">
      <alignment horizontal="center" vertical="center" wrapText="1"/>
      <protection/>
    </xf>
    <xf numFmtId="0" fontId="108" fillId="0" borderId="0" xfId="61" applyFont="1" applyAlignment="1" applyProtection="1">
      <alignment horizontal="center" vertical="center"/>
      <protection/>
    </xf>
    <xf numFmtId="0" fontId="108" fillId="0" borderId="0" xfId="61" applyFont="1" applyBorder="1" applyAlignment="1" applyProtection="1">
      <alignment horizontal="center" vertical="center"/>
      <protection/>
    </xf>
    <xf numFmtId="196" fontId="115" fillId="0" borderId="45" xfId="61" applyNumberFormat="1" applyFont="1" applyBorder="1" applyAlignment="1" applyProtection="1">
      <alignment horizontal="center" vertical="center" shrinkToFit="1"/>
      <protection/>
    </xf>
    <xf numFmtId="196" fontId="115" fillId="0" borderId="46" xfId="61" applyNumberFormat="1" applyFont="1" applyBorder="1" applyAlignment="1" applyProtection="1">
      <alignment horizontal="center" vertical="center" shrinkToFit="1"/>
      <protection/>
    </xf>
    <xf numFmtId="196" fontId="115" fillId="0" borderId="47" xfId="61" applyNumberFormat="1" applyFont="1" applyBorder="1" applyAlignment="1" applyProtection="1">
      <alignment horizontal="center" vertical="center" shrinkToFit="1"/>
      <protection/>
    </xf>
    <xf numFmtId="196" fontId="115" fillId="0" borderId="48" xfId="61" applyNumberFormat="1" applyFont="1" applyBorder="1" applyAlignment="1" applyProtection="1">
      <alignment horizontal="center" vertical="center" shrinkToFit="1"/>
      <protection/>
    </xf>
    <xf numFmtId="196" fontId="115" fillId="0" borderId="0" xfId="61" applyNumberFormat="1" applyFont="1" applyBorder="1" applyAlignment="1" applyProtection="1">
      <alignment horizontal="center" vertical="center" shrinkToFit="1"/>
      <protection/>
    </xf>
    <xf numFmtId="196" fontId="115" fillId="0" borderId="49" xfId="61" applyNumberFormat="1" applyFont="1" applyBorder="1" applyAlignment="1" applyProtection="1">
      <alignment horizontal="center" vertical="center" shrinkToFit="1"/>
      <protection/>
    </xf>
    <xf numFmtId="196" fontId="115" fillId="0" borderId="90" xfId="61" applyNumberFormat="1" applyFont="1" applyBorder="1" applyAlignment="1" applyProtection="1">
      <alignment horizontal="center" vertical="center" shrinkToFit="1"/>
      <protection/>
    </xf>
    <xf numFmtId="196" fontId="115" fillId="0" borderId="84" xfId="61" applyNumberFormat="1" applyFont="1" applyBorder="1" applyAlignment="1" applyProtection="1">
      <alignment horizontal="center" vertical="center" shrinkToFit="1"/>
      <protection/>
    </xf>
    <xf numFmtId="196" fontId="115" fillId="0" borderId="93" xfId="61" applyNumberFormat="1" applyFont="1" applyBorder="1" applyAlignment="1" applyProtection="1">
      <alignment horizontal="center" vertical="center" shrinkToFit="1"/>
      <protection/>
    </xf>
    <xf numFmtId="196" fontId="100" fillId="0" borderId="128" xfId="61" applyNumberFormat="1" applyFont="1" applyFill="1" applyBorder="1" applyAlignment="1" applyProtection="1">
      <alignment horizontal="center" vertical="center" shrinkToFit="1"/>
      <protection/>
    </xf>
    <xf numFmtId="196" fontId="100" fillId="0" borderId="129" xfId="61" applyNumberFormat="1" applyFont="1" applyFill="1" applyBorder="1" applyAlignment="1" applyProtection="1">
      <alignment horizontal="center" vertical="center" shrinkToFit="1"/>
      <protection/>
    </xf>
    <xf numFmtId="196" fontId="100" fillId="0" borderId="130" xfId="61" applyNumberFormat="1" applyFont="1" applyFill="1" applyBorder="1" applyAlignment="1" applyProtection="1">
      <alignment horizontal="center" vertical="center" shrinkToFit="1"/>
      <protection/>
    </xf>
    <xf numFmtId="196" fontId="100" fillId="0" borderId="131" xfId="61" applyNumberFormat="1" applyFont="1" applyFill="1" applyBorder="1" applyAlignment="1" applyProtection="1">
      <alignment horizontal="center" vertical="center" shrinkToFit="1"/>
      <protection/>
    </xf>
    <xf numFmtId="196" fontId="100" fillId="0" borderId="0" xfId="61" applyNumberFormat="1" applyFont="1" applyFill="1" applyBorder="1" applyAlignment="1" applyProtection="1">
      <alignment horizontal="center" vertical="center" shrinkToFit="1"/>
      <protection/>
    </xf>
    <xf numFmtId="196" fontId="100" fillId="0" borderId="132" xfId="61" applyNumberFormat="1" applyFont="1" applyFill="1" applyBorder="1" applyAlignment="1" applyProtection="1">
      <alignment horizontal="center" vertical="center" shrinkToFit="1"/>
      <protection/>
    </xf>
    <xf numFmtId="196" fontId="100" fillId="0" borderId="133" xfId="61" applyNumberFormat="1" applyFont="1" applyFill="1" applyBorder="1" applyAlignment="1" applyProtection="1">
      <alignment horizontal="center" vertical="center" shrinkToFit="1"/>
      <protection/>
    </xf>
    <xf numFmtId="196" fontId="100" fillId="0" borderId="134" xfId="61" applyNumberFormat="1" applyFont="1" applyFill="1" applyBorder="1" applyAlignment="1" applyProtection="1">
      <alignment horizontal="center" vertical="center" shrinkToFit="1"/>
      <protection/>
    </xf>
    <xf numFmtId="196" fontId="100" fillId="0" borderId="135" xfId="61" applyNumberFormat="1" applyFont="1" applyFill="1" applyBorder="1" applyAlignment="1" applyProtection="1">
      <alignment horizontal="center" vertical="center" shrinkToFit="1"/>
      <protection/>
    </xf>
    <xf numFmtId="0" fontId="99" fillId="0" borderId="53" xfId="61" applyFont="1" applyBorder="1" applyAlignment="1">
      <alignment horizontal="center" vertical="center" shrinkToFit="1"/>
      <protection/>
    </xf>
    <xf numFmtId="0" fontId="99" fillId="0" borderId="136" xfId="61" applyFont="1" applyBorder="1" applyAlignment="1">
      <alignment horizontal="center" vertical="center" shrinkToFit="1"/>
      <protection/>
    </xf>
    <xf numFmtId="0" fontId="56" fillId="0" borderId="0" xfId="61" applyFont="1" applyAlignment="1" applyProtection="1">
      <alignment horizontal="center" vertical="center"/>
      <protection/>
    </xf>
    <xf numFmtId="0" fontId="50" fillId="0" borderId="12" xfId="61" applyFont="1" applyBorder="1" applyAlignment="1">
      <alignment vertical="center"/>
      <protection/>
    </xf>
    <xf numFmtId="0" fontId="50" fillId="0" borderId="0" xfId="61" applyFont="1" applyAlignment="1">
      <alignment vertical="center"/>
      <protection/>
    </xf>
    <xf numFmtId="0" fontId="98" fillId="34" borderId="0" xfId="61" applyFont="1" applyFill="1" applyAlignment="1" applyProtection="1">
      <alignment horizontal="center" vertical="center"/>
      <protection/>
    </xf>
    <xf numFmtId="0" fontId="98" fillId="0" borderId="0" xfId="61" applyFont="1" applyFill="1" applyAlignment="1" applyProtection="1">
      <alignment horizontal="center" vertical="center"/>
      <protection/>
    </xf>
    <xf numFmtId="0" fontId="0" fillId="0" borderId="0" xfId="0" applyAlignment="1">
      <alignment vertical="center"/>
    </xf>
    <xf numFmtId="196" fontId="101" fillId="0" borderId="11" xfId="61" applyNumberFormat="1" applyFont="1" applyBorder="1" applyAlignment="1" applyProtection="1">
      <alignment horizontal="center" vertical="center"/>
      <protection/>
    </xf>
    <xf numFmtId="196" fontId="101" fillId="0" borderId="16" xfId="61" applyNumberFormat="1" applyFont="1" applyBorder="1" applyAlignment="1" applyProtection="1">
      <alignment horizontal="center" vertical="center"/>
      <protection/>
    </xf>
    <xf numFmtId="196" fontId="100" fillId="0" borderId="0" xfId="61" applyNumberFormat="1" applyFont="1" applyBorder="1" applyAlignment="1" applyProtection="1">
      <alignment horizontal="center" vertical="center"/>
      <protection/>
    </xf>
    <xf numFmtId="196" fontId="100" fillId="0" borderId="16" xfId="61" applyNumberFormat="1" applyFont="1" applyBorder="1" applyAlignment="1" applyProtection="1">
      <alignment horizontal="center" vertical="center"/>
      <protection/>
    </xf>
    <xf numFmtId="0" fontId="39" fillId="0" borderId="0" xfId="61" applyFont="1" applyBorder="1" applyAlignment="1" applyProtection="1">
      <alignment horizontal="center" vertical="center"/>
      <protection/>
    </xf>
    <xf numFmtId="0" fontId="101" fillId="0" borderId="11" xfId="61" applyFont="1" applyBorder="1" applyAlignment="1" applyProtection="1">
      <alignment horizontal="left" vertical="center" shrinkToFit="1"/>
      <protection/>
    </xf>
    <xf numFmtId="0" fontId="101" fillId="0" borderId="16" xfId="61" applyFont="1" applyBorder="1" applyAlignment="1" applyProtection="1">
      <alignment horizontal="left" vertical="center" shrinkToFit="1"/>
      <protection/>
    </xf>
    <xf numFmtId="0" fontId="39" fillId="0" borderId="0" xfId="61" applyFont="1" applyAlignment="1" applyProtection="1">
      <alignment horizontal="center" vertical="center"/>
      <protection/>
    </xf>
    <xf numFmtId="0" fontId="99" fillId="0" borderId="137" xfId="61" applyFont="1" applyBorder="1" applyAlignment="1" applyProtection="1">
      <alignment horizontal="center" vertical="center" shrinkToFit="1"/>
      <protection/>
    </xf>
    <xf numFmtId="0" fontId="99" fillId="0" borderId="66" xfId="61" applyFont="1" applyBorder="1" applyAlignment="1" applyProtection="1">
      <alignment horizontal="center" vertical="center" shrinkToFit="1"/>
      <protection/>
    </xf>
    <xf numFmtId="0" fontId="99" fillId="0" borderId="138" xfId="61" applyFont="1" applyBorder="1" applyAlignment="1" applyProtection="1">
      <alignment horizontal="center" vertical="center" shrinkToFit="1"/>
      <protection/>
    </xf>
    <xf numFmtId="0" fontId="111" fillId="0" borderId="139" xfId="61" applyFont="1" applyBorder="1" applyAlignment="1" applyProtection="1">
      <alignment horizontal="left" vertical="center" shrinkToFit="1"/>
      <protection/>
    </xf>
    <xf numFmtId="0" fontId="111" fillId="0" borderId="66" xfId="61" applyFont="1" applyBorder="1" applyAlignment="1" applyProtection="1">
      <alignment horizontal="left" vertical="center" shrinkToFit="1"/>
      <protection/>
    </xf>
    <xf numFmtId="0" fontId="99" fillId="0" borderId="137" xfId="61" applyFont="1" applyBorder="1" applyAlignment="1" applyProtection="1">
      <alignment horizontal="left" vertical="center" shrinkToFit="1"/>
      <protection/>
    </xf>
    <xf numFmtId="0" fontId="99" fillId="0" borderId="66" xfId="61" applyFont="1" applyBorder="1" applyAlignment="1" applyProtection="1">
      <alignment horizontal="left" vertical="center" shrinkToFit="1"/>
      <protection/>
    </xf>
    <xf numFmtId="0" fontId="99" fillId="0" borderId="140" xfId="61" applyFont="1" applyBorder="1" applyAlignment="1" applyProtection="1">
      <alignment horizontal="left" vertical="center" shrinkToFit="1"/>
      <protection/>
    </xf>
    <xf numFmtId="0" fontId="133" fillId="50" borderId="0" xfId="61" applyFont="1" applyFill="1" applyAlignment="1" applyProtection="1">
      <alignment horizontal="center" vertical="center"/>
      <protection/>
    </xf>
    <xf numFmtId="0" fontId="132" fillId="50" borderId="0" xfId="61" applyFont="1" applyFill="1" applyBorder="1" applyAlignment="1" applyProtection="1">
      <alignment horizontal="center" vertical="center" wrapText="1"/>
      <protection/>
    </xf>
    <xf numFmtId="0" fontId="101" fillId="0" borderId="0" xfId="61" applyNumberFormat="1" applyFont="1" applyFill="1" applyBorder="1" applyAlignment="1" applyProtection="1">
      <alignment horizontal="center" vertical="center"/>
      <protection/>
    </xf>
    <xf numFmtId="0" fontId="101" fillId="0" borderId="16" xfId="61" applyNumberFormat="1" applyFont="1" applyFill="1" applyBorder="1" applyAlignment="1" applyProtection="1">
      <alignment horizontal="center" vertical="center"/>
      <protection/>
    </xf>
    <xf numFmtId="0" fontId="101" fillId="0" borderId="0" xfId="61" applyFont="1" applyBorder="1" applyAlignment="1" applyProtection="1">
      <alignment horizontal="left" vertical="center" shrinkToFit="1"/>
      <protection/>
    </xf>
    <xf numFmtId="0" fontId="101" fillId="0" borderId="0" xfId="0" applyFont="1" applyBorder="1" applyAlignment="1">
      <alignment horizontal="left" vertical="center" shrinkToFit="1"/>
    </xf>
    <xf numFmtId="0" fontId="101" fillId="0" borderId="16" xfId="0" applyFont="1" applyBorder="1" applyAlignment="1">
      <alignment horizontal="left" vertical="center" shrinkToFit="1"/>
    </xf>
    <xf numFmtId="0" fontId="121" fillId="0" borderId="10" xfId="61" applyFont="1" applyBorder="1" applyAlignment="1" applyProtection="1">
      <alignment horizontal="left" vertical="center" shrinkToFit="1"/>
      <protection/>
    </xf>
    <xf numFmtId="0" fontId="121" fillId="0" borderId="11" xfId="61" applyFont="1" applyBorder="1" applyAlignment="1" applyProtection="1">
      <alignment horizontal="left" vertical="center" shrinkToFit="1"/>
      <protection/>
    </xf>
    <xf numFmtId="0" fontId="99" fillId="0" borderId="141" xfId="61" applyFont="1" applyBorder="1" applyAlignment="1" applyProtection="1">
      <alignment horizontal="center" vertical="center" shrinkToFit="1"/>
      <protection/>
    </xf>
    <xf numFmtId="38" fontId="99" fillId="0" borderId="137" xfId="61" applyNumberFormat="1" applyFont="1" applyBorder="1" applyAlignment="1" applyProtection="1">
      <alignment horizontal="center" vertical="center" shrinkToFit="1"/>
      <protection/>
    </xf>
    <xf numFmtId="196" fontId="101" fillId="0" borderId="0" xfId="61" applyNumberFormat="1" applyFont="1" applyBorder="1" applyAlignment="1" applyProtection="1">
      <alignment horizontal="center" vertical="center"/>
      <protection/>
    </xf>
    <xf numFmtId="0" fontId="99" fillId="0" borderId="16" xfId="61" applyFont="1" applyBorder="1" applyAlignment="1" applyProtection="1">
      <alignment horizontal="left" vertical="center" shrinkToFit="1"/>
      <protection/>
    </xf>
    <xf numFmtId="0" fontId="99" fillId="0" borderId="18" xfId="61" applyFont="1" applyBorder="1" applyAlignment="1" applyProtection="1">
      <alignment horizontal="left" vertical="center" shrinkToFit="1"/>
      <protection/>
    </xf>
    <xf numFmtId="0" fontId="39" fillId="0" borderId="0" xfId="61" applyNumberFormat="1" applyFont="1" applyBorder="1" applyAlignment="1" applyProtection="1">
      <alignment horizontal="center" vertical="center"/>
      <protection/>
    </xf>
    <xf numFmtId="0" fontId="39" fillId="0" borderId="16" xfId="61" applyNumberFormat="1" applyFont="1" applyBorder="1" applyAlignment="1" applyProtection="1">
      <alignment horizontal="center" vertical="center"/>
      <protection/>
    </xf>
    <xf numFmtId="0" fontId="99" fillId="0" borderId="142" xfId="61" applyFont="1" applyBorder="1" applyAlignment="1" applyProtection="1">
      <alignment horizontal="left" vertical="center" shrinkToFit="1"/>
      <protection/>
    </xf>
    <xf numFmtId="0" fontId="99" fillId="0" borderId="141" xfId="61" applyFont="1" applyBorder="1" applyAlignment="1" applyProtection="1">
      <alignment horizontal="left" vertical="center" shrinkToFit="1"/>
      <protection/>
    </xf>
    <xf numFmtId="196" fontId="127" fillId="0" borderId="128" xfId="61" applyNumberFormat="1" applyFont="1" applyFill="1" applyBorder="1" applyAlignment="1" applyProtection="1">
      <alignment horizontal="center" vertical="center"/>
      <protection/>
    </xf>
    <xf numFmtId="196" fontId="127" fillId="0" borderId="129" xfId="61" applyNumberFormat="1" applyFont="1" applyFill="1" applyBorder="1" applyAlignment="1" applyProtection="1">
      <alignment horizontal="center" vertical="center"/>
      <protection/>
    </xf>
    <xf numFmtId="196" fontId="127" fillId="0" borderId="130" xfId="61" applyNumberFormat="1" applyFont="1" applyFill="1" applyBorder="1" applyAlignment="1" applyProtection="1">
      <alignment horizontal="center" vertical="center"/>
      <protection/>
    </xf>
    <xf numFmtId="196" fontId="127" fillId="0" borderId="131" xfId="61" applyNumberFormat="1" applyFont="1" applyFill="1" applyBorder="1" applyAlignment="1" applyProtection="1">
      <alignment horizontal="center" vertical="center"/>
      <protection/>
    </xf>
    <xf numFmtId="196" fontId="127" fillId="0" borderId="0" xfId="61" applyNumberFormat="1" applyFont="1" applyFill="1" applyBorder="1" applyAlignment="1" applyProtection="1">
      <alignment horizontal="center" vertical="center"/>
      <protection/>
    </xf>
    <xf numFmtId="196" fontId="127" fillId="0" borderId="132" xfId="61" applyNumberFormat="1" applyFont="1" applyFill="1" applyBorder="1" applyAlignment="1" applyProtection="1">
      <alignment horizontal="center" vertical="center"/>
      <protection/>
    </xf>
    <xf numFmtId="196" fontId="127" fillId="0" borderId="133" xfId="61" applyNumberFormat="1" applyFont="1" applyFill="1" applyBorder="1" applyAlignment="1" applyProtection="1">
      <alignment horizontal="center" vertical="center"/>
      <protection/>
    </xf>
    <xf numFmtId="196" fontId="127" fillId="0" borderId="134" xfId="61" applyNumberFormat="1" applyFont="1" applyFill="1" applyBorder="1" applyAlignment="1" applyProtection="1">
      <alignment horizontal="center" vertical="center"/>
      <protection/>
    </xf>
    <xf numFmtId="196" fontId="127" fillId="0" borderId="135" xfId="61" applyNumberFormat="1" applyFont="1" applyFill="1" applyBorder="1" applyAlignment="1" applyProtection="1">
      <alignment horizontal="center" vertical="center"/>
      <protection/>
    </xf>
    <xf numFmtId="0" fontId="69" fillId="0" borderId="0" xfId="61" applyFont="1" applyBorder="1" applyAlignment="1">
      <alignment horizontal="distributed" vertical="center" shrinkToFit="1"/>
      <protection/>
    </xf>
    <xf numFmtId="0" fontId="39" fillId="0" borderId="0" xfId="61" applyFont="1" applyBorder="1" applyAlignment="1">
      <alignment horizontal="distributed" vertical="center" shrinkToFit="1"/>
      <protection/>
    </xf>
    <xf numFmtId="0" fontId="100" fillId="0" borderId="143" xfId="61" applyFont="1" applyBorder="1" applyAlignment="1">
      <alignment horizontal="left" vertical="center" shrinkToFit="1"/>
      <protection/>
    </xf>
    <xf numFmtId="0" fontId="100" fillId="0" borderId="144" xfId="61" applyFont="1" applyBorder="1" applyAlignment="1">
      <alignment horizontal="left" vertical="center" shrinkToFit="1"/>
      <protection/>
    </xf>
    <xf numFmtId="0" fontId="100" fillId="0" borderId="143" xfId="61" applyFont="1" applyBorder="1" applyAlignment="1">
      <alignment horizontal="center" vertical="center" shrinkToFit="1"/>
      <protection/>
    </xf>
    <xf numFmtId="0" fontId="100" fillId="0" borderId="144" xfId="61" applyFont="1" applyBorder="1" applyAlignment="1">
      <alignment horizontal="center" vertical="center" shrinkToFit="1"/>
      <protection/>
    </xf>
    <xf numFmtId="198" fontId="100" fillId="0" borderId="143" xfId="0" applyNumberFormat="1" applyFont="1" applyBorder="1" applyAlignment="1">
      <alignment horizontal="center" vertical="center" shrinkToFit="1"/>
    </xf>
    <xf numFmtId="198" fontId="100" fillId="0" borderId="144" xfId="0" applyNumberFormat="1" applyFont="1" applyBorder="1" applyAlignment="1">
      <alignment horizontal="center" vertical="center" shrinkToFit="1"/>
    </xf>
    <xf numFmtId="0" fontId="100" fillId="0" borderId="143" xfId="0" applyFont="1" applyBorder="1" applyAlignment="1">
      <alignment horizontal="center" vertical="center" shrinkToFit="1"/>
    </xf>
    <xf numFmtId="0" fontId="100" fillId="0" borderId="144" xfId="0" applyFont="1" applyBorder="1" applyAlignment="1">
      <alignment horizontal="center" vertical="center" shrinkToFit="1"/>
    </xf>
    <xf numFmtId="0" fontId="123" fillId="50" borderId="45" xfId="61" applyFont="1" applyFill="1" applyBorder="1" applyAlignment="1" applyProtection="1">
      <alignment horizontal="center" vertical="center"/>
      <protection/>
    </xf>
    <xf numFmtId="0" fontId="123" fillId="50" borderId="46" xfId="61" applyFont="1" applyFill="1" applyBorder="1" applyAlignment="1" applyProtection="1">
      <alignment horizontal="center" vertical="center"/>
      <protection/>
    </xf>
    <xf numFmtId="0" fontId="123" fillId="50" borderId="47" xfId="61" applyFont="1" applyFill="1" applyBorder="1" applyAlignment="1" applyProtection="1">
      <alignment horizontal="center" vertical="center"/>
      <protection/>
    </xf>
    <xf numFmtId="0" fontId="123" fillId="50" borderId="48" xfId="61" applyFont="1" applyFill="1" applyBorder="1" applyAlignment="1" applyProtection="1">
      <alignment horizontal="center" vertical="center"/>
      <protection/>
    </xf>
    <xf numFmtId="0" fontId="123" fillId="50" borderId="0" xfId="61" applyFont="1" applyFill="1" applyBorder="1" applyAlignment="1" applyProtection="1">
      <alignment horizontal="center" vertical="center"/>
      <protection/>
    </xf>
    <xf numFmtId="0" fontId="123" fillId="50" borderId="49" xfId="61" applyFont="1" applyFill="1" applyBorder="1" applyAlignment="1" applyProtection="1">
      <alignment horizontal="center" vertical="center"/>
      <protection/>
    </xf>
    <xf numFmtId="0" fontId="39" fillId="0" borderId="129" xfId="61" applyFont="1" applyBorder="1" applyAlignment="1">
      <alignment/>
      <protection/>
    </xf>
    <xf numFmtId="0" fontId="119" fillId="0" borderId="10" xfId="61" applyFont="1" applyFill="1" applyBorder="1" applyAlignment="1" applyProtection="1">
      <alignment horizontal="center"/>
      <protection/>
    </xf>
    <xf numFmtId="0" fontId="119" fillId="0" borderId="11" xfId="61" applyFont="1" applyFill="1" applyBorder="1" applyAlignment="1" applyProtection="1">
      <alignment horizontal="center"/>
      <protection/>
    </xf>
    <xf numFmtId="0" fontId="119" fillId="0" borderId="19" xfId="61" applyFont="1" applyFill="1" applyBorder="1" applyAlignment="1" applyProtection="1">
      <alignment horizontal="center"/>
      <protection/>
    </xf>
    <xf numFmtId="196" fontId="100" fillId="0" borderId="145" xfId="61" applyNumberFormat="1" applyFont="1" applyBorder="1" applyAlignment="1" applyProtection="1">
      <alignment horizontal="center" vertical="center" shrinkToFit="1"/>
      <protection locked="0"/>
    </xf>
    <xf numFmtId="196" fontId="100" fillId="0" borderId="146" xfId="61" applyNumberFormat="1" applyFont="1" applyBorder="1" applyAlignment="1" applyProtection="1">
      <alignment horizontal="center" vertical="center" shrinkToFit="1"/>
      <protection locked="0"/>
    </xf>
    <xf numFmtId="196" fontId="100" fillId="0" borderId="147" xfId="61" applyNumberFormat="1" applyFont="1" applyBorder="1" applyAlignment="1" applyProtection="1">
      <alignment horizontal="center" vertical="center" shrinkToFit="1"/>
      <protection locked="0"/>
    </xf>
    <xf numFmtId="196" fontId="100" fillId="0" borderId="148" xfId="61" applyNumberFormat="1" applyFont="1" applyBorder="1" applyAlignment="1" applyProtection="1">
      <alignment horizontal="center" vertical="center" shrinkToFit="1"/>
      <protection locked="0"/>
    </xf>
    <xf numFmtId="196" fontId="100" fillId="0" borderId="0" xfId="61" applyNumberFormat="1" applyFont="1" applyBorder="1" applyAlignment="1" applyProtection="1">
      <alignment horizontal="center" vertical="center" shrinkToFit="1"/>
      <protection locked="0"/>
    </xf>
    <xf numFmtId="196" fontId="100" fillId="0" borderId="149" xfId="61" applyNumberFormat="1" applyFont="1" applyBorder="1" applyAlignment="1" applyProtection="1">
      <alignment horizontal="center" vertical="center" shrinkToFit="1"/>
      <protection locked="0"/>
    </xf>
    <xf numFmtId="196" fontId="100" fillId="0" borderId="150" xfId="61" applyNumberFormat="1" applyFont="1" applyBorder="1" applyAlignment="1" applyProtection="1">
      <alignment horizontal="center" vertical="center" shrinkToFit="1"/>
      <protection locked="0"/>
    </xf>
    <xf numFmtId="196" fontId="100" fillId="0" borderId="151" xfId="61" applyNumberFormat="1" applyFont="1" applyBorder="1" applyAlignment="1" applyProtection="1">
      <alignment horizontal="center" vertical="center" shrinkToFit="1"/>
      <protection locked="0"/>
    </xf>
    <xf numFmtId="196" fontId="100" fillId="0" borderId="152" xfId="61" applyNumberFormat="1" applyFont="1" applyBorder="1" applyAlignment="1" applyProtection="1">
      <alignment horizontal="center" vertical="center" shrinkToFit="1"/>
      <protection locked="0"/>
    </xf>
    <xf numFmtId="0" fontId="116" fillId="0" borderId="153" xfId="63" applyNumberFormat="1" applyFont="1" applyBorder="1" applyAlignment="1">
      <alignment horizontal="center" vertical="center" shrinkToFit="1"/>
      <protection/>
    </xf>
    <xf numFmtId="0" fontId="100" fillId="0" borderId="154" xfId="0" applyFont="1" applyBorder="1" applyAlignment="1">
      <alignment horizontal="center" vertical="center" shrinkToFit="1"/>
    </xf>
    <xf numFmtId="0" fontId="100" fillId="0" borderId="155" xfId="0" applyFont="1" applyBorder="1" applyAlignment="1">
      <alignment horizontal="center" vertical="center" shrinkToFit="1"/>
    </xf>
    <xf numFmtId="0" fontId="100" fillId="0" borderId="156" xfId="0" applyFont="1" applyBorder="1" applyAlignment="1">
      <alignment horizontal="center" vertical="center" shrinkToFit="1"/>
    </xf>
    <xf numFmtId="0" fontId="100" fillId="0" borderId="0" xfId="0" applyFont="1" applyBorder="1" applyAlignment="1">
      <alignment horizontal="center" vertical="center" shrinkToFit="1"/>
    </xf>
    <xf numFmtId="0" fontId="100" fillId="0" borderId="157" xfId="0" applyFont="1" applyBorder="1" applyAlignment="1">
      <alignment horizontal="center" vertical="center" shrinkToFit="1"/>
    </xf>
    <xf numFmtId="0" fontId="100" fillId="0" borderId="158" xfId="0" applyFont="1" applyBorder="1" applyAlignment="1">
      <alignment horizontal="center" vertical="center" shrinkToFit="1"/>
    </xf>
    <xf numFmtId="0" fontId="100" fillId="0" borderId="159" xfId="0" applyFont="1" applyBorder="1" applyAlignment="1">
      <alignment horizontal="center" vertical="center" shrinkToFit="1"/>
    </xf>
    <xf numFmtId="0" fontId="100" fillId="0" borderId="160" xfId="0" applyFont="1" applyBorder="1" applyAlignment="1">
      <alignment horizontal="center" vertical="center" shrinkToFit="1"/>
    </xf>
    <xf numFmtId="0" fontId="119" fillId="0" borderId="12" xfId="61" applyFont="1" applyFill="1" applyBorder="1" applyAlignment="1" applyProtection="1">
      <alignment horizontal="center"/>
      <protection/>
    </xf>
    <xf numFmtId="0" fontId="119" fillId="0" borderId="0" xfId="61" applyFont="1" applyFill="1" applyBorder="1" applyAlignment="1" applyProtection="1">
      <alignment horizontal="center"/>
      <protection/>
    </xf>
    <xf numFmtId="0" fontId="119" fillId="0" borderId="13" xfId="61" applyFont="1" applyFill="1" applyBorder="1" applyAlignment="1" applyProtection="1">
      <alignment horizontal="center"/>
      <protection/>
    </xf>
    <xf numFmtId="196" fontId="100" fillId="0" borderId="143" xfId="61" applyNumberFormat="1" applyFont="1" applyFill="1" applyBorder="1" applyAlignment="1" applyProtection="1">
      <alignment horizontal="center" vertical="center" shrinkToFit="1"/>
      <protection/>
    </xf>
    <xf numFmtId="196" fontId="100" fillId="0" borderId="161" xfId="61" applyNumberFormat="1" applyFont="1" applyFill="1" applyBorder="1" applyAlignment="1" applyProtection="1">
      <alignment horizontal="center" vertical="center" shrinkToFit="1"/>
      <protection/>
    </xf>
    <xf numFmtId="196" fontId="100" fillId="0" borderId="144" xfId="61" applyNumberFormat="1" applyFont="1" applyFill="1" applyBorder="1" applyAlignment="1" applyProtection="1">
      <alignment horizontal="center" vertical="center" shrinkToFit="1"/>
      <protection/>
    </xf>
    <xf numFmtId="196" fontId="100" fillId="0" borderId="45" xfId="61" applyNumberFormat="1" applyFont="1" applyBorder="1" applyAlignment="1" applyProtection="1">
      <alignment horizontal="center" vertical="center" shrinkToFit="1"/>
      <protection/>
    </xf>
    <xf numFmtId="196" fontId="100" fillId="0" borderId="46" xfId="61" applyNumberFormat="1" applyFont="1" applyBorder="1" applyAlignment="1" applyProtection="1">
      <alignment horizontal="center" vertical="center" shrinkToFit="1"/>
      <protection/>
    </xf>
    <xf numFmtId="196" fontId="100" fillId="0" borderId="47" xfId="61" applyNumberFormat="1" applyFont="1" applyBorder="1" applyAlignment="1" applyProtection="1">
      <alignment horizontal="center" vertical="center" shrinkToFit="1"/>
      <protection/>
    </xf>
    <xf numFmtId="196" fontId="100" fillId="0" borderId="48" xfId="61" applyNumberFormat="1" applyFont="1" applyBorder="1" applyAlignment="1" applyProtection="1">
      <alignment horizontal="center" vertical="center" shrinkToFit="1"/>
      <protection/>
    </xf>
    <xf numFmtId="196" fontId="100" fillId="0" borderId="0" xfId="61" applyNumberFormat="1" applyFont="1" applyBorder="1" applyAlignment="1" applyProtection="1">
      <alignment horizontal="center" vertical="center" shrinkToFit="1"/>
      <protection/>
    </xf>
    <xf numFmtId="196" fontId="100" fillId="0" borderId="49" xfId="61" applyNumberFormat="1" applyFont="1" applyBorder="1" applyAlignment="1" applyProtection="1">
      <alignment horizontal="center" vertical="center" shrinkToFit="1"/>
      <protection/>
    </xf>
    <xf numFmtId="196" fontId="100" fillId="0" borderId="90" xfId="61" applyNumberFormat="1" applyFont="1" applyBorder="1" applyAlignment="1" applyProtection="1">
      <alignment horizontal="center" vertical="center" shrinkToFit="1"/>
      <protection/>
    </xf>
    <xf numFmtId="196" fontId="100" fillId="0" borderId="84" xfId="61" applyNumberFormat="1" applyFont="1" applyBorder="1" applyAlignment="1" applyProtection="1">
      <alignment horizontal="center" vertical="center" shrinkToFit="1"/>
      <protection/>
    </xf>
    <xf numFmtId="196" fontId="100" fillId="0" borderId="93" xfId="61" applyNumberFormat="1" applyFont="1" applyBorder="1" applyAlignment="1" applyProtection="1">
      <alignment horizontal="center" vertical="center" shrinkToFit="1"/>
      <protection/>
    </xf>
    <xf numFmtId="0" fontId="115" fillId="0" borderId="46" xfId="61" applyNumberFormat="1" applyFont="1" applyBorder="1" applyAlignment="1" applyProtection="1">
      <alignment horizontal="center" vertical="center" shrinkToFit="1"/>
      <protection/>
    </xf>
    <xf numFmtId="0" fontId="115" fillId="0" borderId="47" xfId="61" applyNumberFormat="1" applyFont="1" applyBorder="1" applyAlignment="1" applyProtection="1">
      <alignment horizontal="center" vertical="center" shrinkToFit="1"/>
      <protection/>
    </xf>
    <xf numFmtId="0" fontId="115" fillId="0" borderId="48" xfId="61" applyNumberFormat="1" applyFont="1" applyBorder="1" applyAlignment="1" applyProtection="1">
      <alignment horizontal="center" vertical="center" shrinkToFit="1"/>
      <protection/>
    </xf>
    <xf numFmtId="0" fontId="115" fillId="0" borderId="0" xfId="61" applyNumberFormat="1" applyFont="1" applyBorder="1" applyAlignment="1" applyProtection="1">
      <alignment horizontal="center" vertical="center" shrinkToFit="1"/>
      <protection/>
    </xf>
    <xf numFmtId="0" fontId="115" fillId="0" borderId="49" xfId="61" applyNumberFormat="1" applyFont="1" applyBorder="1" applyAlignment="1" applyProtection="1">
      <alignment horizontal="center" vertical="center" shrinkToFit="1"/>
      <protection/>
    </xf>
    <xf numFmtId="0" fontId="115" fillId="0" borderId="90" xfId="61" applyNumberFormat="1" applyFont="1" applyBorder="1" applyAlignment="1" applyProtection="1">
      <alignment horizontal="center" vertical="center" shrinkToFit="1"/>
      <protection/>
    </xf>
    <xf numFmtId="0" fontId="115" fillId="0" borderId="84" xfId="61" applyNumberFormat="1" applyFont="1" applyBorder="1" applyAlignment="1" applyProtection="1">
      <alignment horizontal="center" vertical="center" shrinkToFit="1"/>
      <protection/>
    </xf>
    <xf numFmtId="0" fontId="115" fillId="0" borderId="93" xfId="61" applyNumberFormat="1" applyFont="1" applyBorder="1" applyAlignment="1" applyProtection="1">
      <alignment horizontal="center" vertical="center" shrinkToFit="1"/>
      <protection/>
    </xf>
    <xf numFmtId="0" fontId="39" fillId="0" borderId="0" xfId="61" applyFont="1" applyAlignment="1" applyProtection="1">
      <alignment horizontal="center" vertical="center" wrapText="1"/>
      <protection/>
    </xf>
    <xf numFmtId="0" fontId="39" fillId="0" borderId="84" xfId="61" applyFont="1" applyBorder="1" applyAlignment="1" applyProtection="1">
      <alignment horizontal="center" vertical="center" wrapText="1"/>
      <protection/>
    </xf>
    <xf numFmtId="0" fontId="108" fillId="0" borderId="0" xfId="61" applyFont="1" applyBorder="1" applyAlignment="1" applyProtection="1">
      <alignment horizontal="center" vertical="center" wrapText="1"/>
      <protection/>
    </xf>
    <xf numFmtId="0" fontId="114" fillId="0" borderId="84" xfId="61" applyFont="1" applyBorder="1" applyAlignment="1" applyProtection="1">
      <alignment horizontal="center" vertical="center"/>
      <protection/>
    </xf>
    <xf numFmtId="196" fontId="100" fillId="0" borderId="45" xfId="61" applyNumberFormat="1" applyFont="1" applyBorder="1" applyAlignment="1" applyProtection="1">
      <alignment horizontal="center" vertical="center"/>
      <protection/>
    </xf>
    <xf numFmtId="196" fontId="100" fillId="0" borderId="46" xfId="61" applyNumberFormat="1" applyFont="1" applyBorder="1" applyAlignment="1" applyProtection="1">
      <alignment horizontal="center" vertical="center"/>
      <protection/>
    </xf>
    <xf numFmtId="196" fontId="100" fillId="0" borderId="47" xfId="61" applyNumberFormat="1" applyFont="1" applyBorder="1" applyAlignment="1" applyProtection="1">
      <alignment horizontal="center" vertical="center"/>
      <protection/>
    </xf>
    <xf numFmtId="196" fontId="100" fillId="0" borderId="48" xfId="61" applyNumberFormat="1" applyFont="1" applyBorder="1" applyAlignment="1" applyProtection="1">
      <alignment horizontal="center" vertical="center"/>
      <protection/>
    </xf>
    <xf numFmtId="196" fontId="100" fillId="0" borderId="49" xfId="61" applyNumberFormat="1" applyFont="1" applyBorder="1" applyAlignment="1" applyProtection="1">
      <alignment horizontal="center" vertical="center"/>
      <protection/>
    </xf>
    <xf numFmtId="196" fontId="100" fillId="0" borderId="90" xfId="61" applyNumberFormat="1" applyFont="1" applyBorder="1" applyAlignment="1" applyProtection="1">
      <alignment horizontal="center" vertical="center"/>
      <protection/>
    </xf>
    <xf numFmtId="196" fontId="100" fillId="0" borderId="84" xfId="61" applyNumberFormat="1" applyFont="1" applyBorder="1" applyAlignment="1" applyProtection="1">
      <alignment horizontal="center" vertical="center"/>
      <protection/>
    </xf>
    <xf numFmtId="196" fontId="100" fillId="0" borderId="93" xfId="61" applyNumberFormat="1" applyFont="1" applyBorder="1" applyAlignment="1" applyProtection="1">
      <alignment horizontal="center" vertical="center"/>
      <protection/>
    </xf>
    <xf numFmtId="196" fontId="109" fillId="0" borderId="45" xfId="61" applyNumberFormat="1" applyFont="1" applyBorder="1" applyAlignment="1" applyProtection="1">
      <alignment horizontal="center" vertical="center" shrinkToFit="1"/>
      <protection/>
    </xf>
    <xf numFmtId="196" fontId="109" fillId="0" borderId="46" xfId="61" applyNumberFormat="1" applyFont="1" applyBorder="1" applyAlignment="1" applyProtection="1">
      <alignment horizontal="center" vertical="center" shrinkToFit="1"/>
      <protection/>
    </xf>
    <xf numFmtId="196" fontId="109" fillId="0" borderId="47" xfId="61" applyNumberFormat="1" applyFont="1" applyBorder="1" applyAlignment="1" applyProtection="1">
      <alignment horizontal="center" vertical="center" shrinkToFit="1"/>
      <protection/>
    </xf>
    <xf numFmtId="196" fontId="109" fillId="0" borderId="48" xfId="61" applyNumberFormat="1" applyFont="1" applyBorder="1" applyAlignment="1" applyProtection="1">
      <alignment horizontal="center" vertical="center" shrinkToFit="1"/>
      <protection/>
    </xf>
    <xf numFmtId="196" fontId="109" fillId="0" borderId="0" xfId="61" applyNumberFormat="1" applyFont="1" applyBorder="1" applyAlignment="1" applyProtection="1">
      <alignment horizontal="center" vertical="center" shrinkToFit="1"/>
      <protection/>
    </xf>
    <xf numFmtId="196" fontId="109" fillId="0" borderId="49" xfId="61" applyNumberFormat="1" applyFont="1" applyBorder="1" applyAlignment="1" applyProtection="1">
      <alignment horizontal="center" vertical="center" shrinkToFit="1"/>
      <protection/>
    </xf>
    <xf numFmtId="196" fontId="109" fillId="0" borderId="90" xfId="61" applyNumberFormat="1" applyFont="1" applyBorder="1" applyAlignment="1" applyProtection="1">
      <alignment horizontal="center" vertical="center" shrinkToFit="1"/>
      <protection/>
    </xf>
    <xf numFmtId="196" fontId="109" fillId="0" borderId="84" xfId="61" applyNumberFormat="1" applyFont="1" applyBorder="1" applyAlignment="1" applyProtection="1">
      <alignment horizontal="center" vertical="center" shrinkToFit="1"/>
      <protection/>
    </xf>
    <xf numFmtId="196" fontId="109" fillId="0" borderId="93" xfId="61" applyNumberFormat="1" applyFont="1" applyBorder="1" applyAlignment="1" applyProtection="1">
      <alignment horizontal="center" vertical="center" shrinkToFit="1"/>
      <protection/>
    </xf>
    <xf numFmtId="196" fontId="100" fillId="0" borderId="153" xfId="61" applyNumberFormat="1" applyFont="1" applyFill="1" applyBorder="1" applyAlignment="1" applyProtection="1">
      <alignment horizontal="center" vertical="center" shrinkToFit="1"/>
      <protection locked="0"/>
    </xf>
    <xf numFmtId="196" fontId="100" fillId="0" borderId="154" xfId="61" applyNumberFormat="1" applyFont="1" applyFill="1" applyBorder="1" applyAlignment="1" applyProtection="1">
      <alignment horizontal="center" vertical="center" shrinkToFit="1"/>
      <protection locked="0"/>
    </xf>
    <xf numFmtId="196" fontId="100" fillId="0" borderId="155" xfId="61" applyNumberFormat="1" applyFont="1" applyFill="1" applyBorder="1" applyAlignment="1" applyProtection="1">
      <alignment horizontal="center" vertical="center" shrinkToFit="1"/>
      <protection locked="0"/>
    </xf>
    <xf numFmtId="196" fontId="100" fillId="0" borderId="156" xfId="61" applyNumberFormat="1" applyFont="1" applyFill="1" applyBorder="1" applyAlignment="1" applyProtection="1">
      <alignment horizontal="center" vertical="center" shrinkToFit="1"/>
      <protection locked="0"/>
    </xf>
    <xf numFmtId="196" fontId="100" fillId="0" borderId="0" xfId="61" applyNumberFormat="1" applyFont="1" applyFill="1" applyBorder="1" applyAlignment="1" applyProtection="1">
      <alignment horizontal="center" vertical="center" shrinkToFit="1"/>
      <protection locked="0"/>
    </xf>
    <xf numFmtId="196" fontId="100" fillId="0" borderId="157" xfId="61" applyNumberFormat="1" applyFont="1" applyFill="1" applyBorder="1" applyAlignment="1" applyProtection="1">
      <alignment horizontal="center" vertical="center" shrinkToFit="1"/>
      <protection locked="0"/>
    </xf>
    <xf numFmtId="196" fontId="100" fillId="0" borderId="158" xfId="61" applyNumberFormat="1" applyFont="1" applyFill="1" applyBorder="1" applyAlignment="1" applyProtection="1">
      <alignment horizontal="center" vertical="center" shrinkToFit="1"/>
      <protection locked="0"/>
    </xf>
    <xf numFmtId="196" fontId="100" fillId="0" borderId="159" xfId="61" applyNumberFormat="1" applyFont="1" applyFill="1" applyBorder="1" applyAlignment="1" applyProtection="1">
      <alignment horizontal="center" vertical="center" shrinkToFit="1"/>
      <protection locked="0"/>
    </xf>
    <xf numFmtId="196" fontId="100" fillId="0" borderId="160" xfId="61" applyNumberFormat="1" applyFont="1" applyFill="1" applyBorder="1" applyAlignment="1" applyProtection="1">
      <alignment horizontal="center" vertical="center" shrinkToFit="1"/>
      <protection locked="0"/>
    </xf>
    <xf numFmtId="0" fontId="113" fillId="0" borderId="128" xfId="61" applyFont="1" applyFill="1" applyBorder="1" applyAlignment="1" applyProtection="1">
      <alignment horizontal="center" vertical="center"/>
      <protection/>
    </xf>
    <xf numFmtId="0" fontId="113" fillId="0" borderId="129" xfId="61" applyFont="1" applyFill="1" applyBorder="1" applyAlignment="1" applyProtection="1">
      <alignment horizontal="center" vertical="center"/>
      <protection/>
    </xf>
    <xf numFmtId="0" fontId="113" fillId="0" borderId="130" xfId="61" applyFont="1" applyFill="1" applyBorder="1" applyAlignment="1" applyProtection="1">
      <alignment horizontal="center" vertical="center"/>
      <protection/>
    </xf>
    <xf numFmtId="0" fontId="113" fillId="0" borderId="131" xfId="61" applyFont="1" applyFill="1" applyBorder="1" applyAlignment="1" applyProtection="1">
      <alignment horizontal="center" vertical="center"/>
      <protection/>
    </xf>
    <xf numFmtId="0" fontId="113" fillId="0" borderId="0" xfId="61" applyFont="1" applyFill="1" applyBorder="1" applyAlignment="1" applyProtection="1">
      <alignment horizontal="center" vertical="center"/>
      <protection/>
    </xf>
    <xf numFmtId="0" fontId="113" fillId="0" borderId="132" xfId="61" applyFont="1" applyFill="1" applyBorder="1" applyAlignment="1" applyProtection="1">
      <alignment horizontal="center" vertical="center"/>
      <protection/>
    </xf>
    <xf numFmtId="0" fontId="113" fillId="0" borderId="133" xfId="61" applyFont="1" applyFill="1" applyBorder="1" applyAlignment="1" applyProtection="1">
      <alignment horizontal="center" vertical="center"/>
      <protection/>
    </xf>
    <xf numFmtId="0" fontId="113" fillId="0" borderId="134" xfId="61" applyFont="1" applyFill="1" applyBorder="1" applyAlignment="1" applyProtection="1">
      <alignment horizontal="center" vertical="center"/>
      <protection/>
    </xf>
    <xf numFmtId="0" fontId="113" fillId="0" borderId="135" xfId="61" applyFont="1" applyFill="1" applyBorder="1" applyAlignment="1" applyProtection="1">
      <alignment horizontal="center" vertical="center"/>
      <protection/>
    </xf>
    <xf numFmtId="0" fontId="108" fillId="0" borderId="84" xfId="61" applyFont="1" applyBorder="1" applyAlignment="1" applyProtection="1">
      <alignment horizontal="center" vertical="center"/>
      <protection/>
    </xf>
    <xf numFmtId="0" fontId="121" fillId="0" borderId="0" xfId="61" applyFont="1" applyBorder="1" applyAlignment="1" applyProtection="1">
      <alignment horizontal="center" vertical="center"/>
      <protection/>
    </xf>
    <xf numFmtId="0" fontId="88" fillId="0" borderId="0" xfId="0" applyFont="1" applyAlignment="1">
      <alignment vertical="center"/>
    </xf>
    <xf numFmtId="0" fontId="109" fillId="0" borderId="0" xfId="61" applyFont="1" applyFill="1" applyBorder="1" applyAlignment="1" applyProtection="1">
      <alignment horizontal="center" vertical="center" shrinkToFit="1"/>
      <protection/>
    </xf>
    <xf numFmtId="0" fontId="109" fillId="0" borderId="134" xfId="61" applyFont="1" applyFill="1" applyBorder="1" applyAlignment="1" applyProtection="1">
      <alignment horizontal="center" vertical="center" shrinkToFit="1"/>
      <protection/>
    </xf>
    <xf numFmtId="0" fontId="39" fillId="0" borderId="0" xfId="61" applyFont="1" applyAlignment="1" applyProtection="1">
      <alignment horizontal="center" vertical="center" wrapText="1" shrinkToFit="1"/>
      <protection/>
    </xf>
    <xf numFmtId="0" fontId="39" fillId="0" borderId="84" xfId="61" applyFont="1" applyBorder="1" applyAlignment="1" applyProtection="1">
      <alignment horizontal="center" vertical="center" wrapText="1" shrinkToFit="1"/>
      <protection/>
    </xf>
    <xf numFmtId="0" fontId="58" fillId="0" borderId="45" xfId="63" applyNumberFormat="1" applyFont="1" applyBorder="1" applyAlignment="1">
      <alignment horizontal="center" vertical="center" shrinkToFit="1"/>
      <protection/>
    </xf>
    <xf numFmtId="0" fontId="48" fillId="0" borderId="46" xfId="0" applyFont="1" applyBorder="1" applyAlignment="1">
      <alignment horizontal="center" vertical="center" shrinkToFit="1"/>
    </xf>
    <xf numFmtId="0" fontId="48" fillId="0" borderId="47" xfId="0" applyFont="1" applyBorder="1" applyAlignment="1">
      <alignment horizontal="center" vertical="center" shrinkToFit="1"/>
    </xf>
    <xf numFmtId="0" fontId="48" fillId="0" borderId="48" xfId="0" applyFont="1" applyBorder="1" applyAlignment="1">
      <alignment horizontal="center" vertical="center" shrinkToFit="1"/>
    </xf>
    <xf numFmtId="0" fontId="48" fillId="0" borderId="0" xfId="0" applyFont="1" applyBorder="1" applyAlignment="1">
      <alignment horizontal="center" vertical="center" shrinkToFit="1"/>
    </xf>
    <xf numFmtId="0" fontId="48" fillId="0" borderId="49" xfId="0" applyFont="1" applyBorder="1" applyAlignment="1">
      <alignment horizontal="center" vertical="center" shrinkToFit="1"/>
    </xf>
    <xf numFmtId="0" fontId="48" fillId="0" borderId="90" xfId="0" applyFont="1" applyBorder="1" applyAlignment="1">
      <alignment horizontal="center" vertical="center" shrinkToFit="1"/>
    </xf>
    <xf numFmtId="0" fontId="48" fillId="0" borderId="84" xfId="0" applyFont="1" applyBorder="1" applyAlignment="1">
      <alignment horizontal="center" vertical="center" shrinkToFit="1"/>
    </xf>
    <xf numFmtId="0" fontId="48" fillId="0" borderId="93" xfId="0" applyFont="1" applyBorder="1" applyAlignment="1">
      <alignment horizontal="center" vertical="center" shrinkToFit="1"/>
    </xf>
    <xf numFmtId="0" fontId="39" fillId="0" borderId="0" xfId="61" applyFont="1" applyBorder="1" applyAlignment="1" applyProtection="1">
      <alignment horizontal="center" vertical="center" wrapText="1"/>
      <protection/>
    </xf>
    <xf numFmtId="0" fontId="61" fillId="0" borderId="128" xfId="61" applyFont="1" applyBorder="1" applyAlignment="1">
      <alignment horizontal="center" vertical="center"/>
      <protection/>
    </xf>
    <xf numFmtId="0" fontId="61" fillId="0" borderId="129" xfId="61" applyFont="1" applyBorder="1" applyAlignment="1">
      <alignment horizontal="center" vertical="center"/>
      <protection/>
    </xf>
    <xf numFmtId="0" fontId="61" fillId="0" borderId="130" xfId="61" applyFont="1" applyBorder="1" applyAlignment="1">
      <alignment horizontal="center" vertical="center"/>
      <protection/>
    </xf>
    <xf numFmtId="0" fontId="61" fillId="0" borderId="133" xfId="61" applyFont="1" applyBorder="1" applyAlignment="1">
      <alignment horizontal="center" vertical="center"/>
      <protection/>
    </xf>
    <xf numFmtId="0" fontId="61" fillId="0" borderId="134" xfId="61" applyFont="1" applyBorder="1" applyAlignment="1">
      <alignment horizontal="center" vertical="center"/>
      <protection/>
    </xf>
    <xf numFmtId="0" fontId="61" fillId="0" borderId="135" xfId="61" applyFont="1" applyBorder="1" applyAlignment="1">
      <alignment horizontal="center" vertical="center"/>
      <protection/>
    </xf>
    <xf numFmtId="0" fontId="39" fillId="0" borderId="46" xfId="61" applyFont="1" applyBorder="1" applyAlignment="1" applyProtection="1">
      <alignment horizontal="center" vertical="center" wrapText="1"/>
      <protection/>
    </xf>
    <xf numFmtId="0" fontId="39" fillId="0" borderId="48" xfId="61" applyFont="1" applyBorder="1" applyAlignment="1">
      <alignment horizontal="center"/>
      <protection/>
    </xf>
    <xf numFmtId="0" fontId="39" fillId="0" borderId="0" xfId="61" applyFont="1" applyBorder="1" applyAlignment="1">
      <alignment horizontal="center"/>
      <protection/>
    </xf>
    <xf numFmtId="0" fontId="132" fillId="50" borderId="0" xfId="61" applyFont="1" applyFill="1" applyBorder="1" applyAlignment="1" applyProtection="1">
      <alignment horizontal="center" vertical="center" wrapText="1" shrinkToFit="1"/>
      <protection/>
    </xf>
    <xf numFmtId="0" fontId="56" fillId="0" borderId="48" xfId="61" applyFont="1" applyBorder="1" applyAlignment="1" applyProtection="1">
      <alignment vertical="center"/>
      <protection/>
    </xf>
    <xf numFmtId="0" fontId="105" fillId="0" borderId="0" xfId="61" applyFont="1" applyBorder="1" applyAlignment="1" applyProtection="1">
      <alignment horizontal="center" vertical="center" shrinkToFit="1"/>
      <protection/>
    </xf>
    <xf numFmtId="0" fontId="105" fillId="0" borderId="16" xfId="61" applyFont="1" applyBorder="1" applyAlignment="1" applyProtection="1">
      <alignment horizontal="center" vertical="center" shrinkToFit="1"/>
      <protection/>
    </xf>
    <xf numFmtId="0" fontId="58" fillId="0" borderId="128" xfId="63" applyNumberFormat="1" applyFont="1" applyBorder="1" applyAlignment="1">
      <alignment horizontal="center" vertical="center" shrinkToFit="1"/>
      <protection/>
    </xf>
    <xf numFmtId="0" fontId="48" fillId="0" borderId="129" xfId="0" applyFont="1" applyBorder="1" applyAlignment="1">
      <alignment horizontal="center" vertical="center" shrinkToFit="1"/>
    </xf>
    <xf numFmtId="0" fontId="48" fillId="0" borderId="130" xfId="0" applyFont="1" applyBorder="1" applyAlignment="1">
      <alignment horizontal="center" vertical="center" shrinkToFit="1"/>
    </xf>
    <xf numFmtId="0" fontId="48" fillId="0" borderId="131" xfId="0" applyFont="1" applyBorder="1" applyAlignment="1">
      <alignment horizontal="center" vertical="center" shrinkToFit="1"/>
    </xf>
    <xf numFmtId="0" fontId="48" fillId="0" borderId="132" xfId="0" applyFont="1" applyBorder="1" applyAlignment="1">
      <alignment horizontal="center" vertical="center" shrinkToFit="1"/>
    </xf>
    <xf numFmtId="0" fontId="48" fillId="0" borderId="133" xfId="0" applyFont="1" applyBorder="1" applyAlignment="1">
      <alignment horizontal="center" vertical="center" shrinkToFit="1"/>
    </xf>
    <xf numFmtId="0" fontId="48" fillId="0" borderId="134" xfId="0" applyFont="1" applyBorder="1" applyAlignment="1">
      <alignment horizontal="center" vertical="center" shrinkToFit="1"/>
    </xf>
    <xf numFmtId="0" fontId="48" fillId="0" borderId="135" xfId="0" applyFont="1" applyBorder="1" applyAlignment="1">
      <alignment horizontal="center" vertical="center" shrinkToFit="1"/>
    </xf>
    <xf numFmtId="0" fontId="129" fillId="0" borderId="0" xfId="0" applyFont="1" applyAlignment="1">
      <alignment vertical="center"/>
    </xf>
    <xf numFmtId="0" fontId="107" fillId="0" borderId="0" xfId="61" applyFont="1" applyBorder="1" applyAlignment="1" applyProtection="1">
      <alignment horizontal="center" vertical="center" wrapText="1" shrinkToFit="1"/>
      <protection/>
    </xf>
    <xf numFmtId="0" fontId="107" fillId="0" borderId="16" xfId="61" applyFont="1" applyBorder="1" applyAlignment="1" applyProtection="1">
      <alignment horizontal="center" vertical="center" wrapText="1" shrinkToFit="1"/>
      <protection/>
    </xf>
    <xf numFmtId="0" fontId="48" fillId="0" borderId="153" xfId="0" applyFont="1" applyBorder="1" applyAlignment="1">
      <alignment horizontal="center" vertical="center"/>
    </xf>
    <xf numFmtId="0" fontId="48" fillId="0" borderId="154" xfId="0" applyFont="1" applyBorder="1" applyAlignment="1">
      <alignment horizontal="center" vertical="center"/>
    </xf>
    <xf numFmtId="0" fontId="48" fillId="0" borderId="155" xfId="0" applyFont="1" applyBorder="1" applyAlignment="1">
      <alignment horizontal="center" vertical="center"/>
    </xf>
    <xf numFmtId="0" fontId="48" fillId="0" borderId="156" xfId="0" applyFont="1" applyBorder="1" applyAlignment="1">
      <alignment horizontal="center" vertical="center"/>
    </xf>
    <xf numFmtId="0" fontId="48" fillId="0" borderId="0" xfId="0" applyFont="1" applyBorder="1" applyAlignment="1">
      <alignment horizontal="center" vertical="center"/>
    </xf>
    <xf numFmtId="0" fontId="48" fillId="0" borderId="157" xfId="0" applyFont="1" applyBorder="1" applyAlignment="1">
      <alignment horizontal="center" vertical="center"/>
    </xf>
    <xf numFmtId="0" fontId="48" fillId="0" borderId="158" xfId="0" applyFont="1" applyBorder="1" applyAlignment="1">
      <alignment horizontal="center" vertical="center"/>
    </xf>
    <xf numFmtId="0" fontId="48" fillId="0" borderId="159" xfId="0" applyFont="1" applyBorder="1" applyAlignment="1">
      <alignment horizontal="center" vertical="center"/>
    </xf>
    <xf numFmtId="0" fontId="48" fillId="0" borderId="160" xfId="0" applyFont="1" applyBorder="1" applyAlignment="1">
      <alignment horizontal="center" vertical="center"/>
    </xf>
    <xf numFmtId="0" fontId="53" fillId="0" borderId="45" xfId="63" applyNumberFormat="1" applyFont="1" applyBorder="1" applyAlignment="1">
      <alignment horizontal="center" vertical="center" shrinkToFit="1"/>
      <protection/>
    </xf>
    <xf numFmtId="0" fontId="54" fillId="0" borderId="46" xfId="0" applyFont="1" applyBorder="1" applyAlignment="1">
      <alignment horizontal="center" vertical="center" shrinkToFit="1"/>
    </xf>
    <xf numFmtId="0" fontId="46" fillId="0" borderId="47" xfId="0" applyFont="1" applyBorder="1" applyAlignment="1">
      <alignment horizontal="center" vertical="center" shrinkToFit="1"/>
    </xf>
    <xf numFmtId="0" fontId="46" fillId="0" borderId="48" xfId="0" applyFont="1" applyBorder="1" applyAlignment="1">
      <alignment horizontal="center" vertical="center" shrinkToFit="1"/>
    </xf>
    <xf numFmtId="0" fontId="46" fillId="0" borderId="0" xfId="0" applyFont="1" applyBorder="1" applyAlignment="1">
      <alignment horizontal="center" vertical="center" shrinkToFit="1"/>
    </xf>
    <xf numFmtId="0" fontId="46" fillId="0" borderId="49" xfId="0" applyFont="1" applyBorder="1" applyAlignment="1">
      <alignment horizontal="center" vertical="center" shrinkToFit="1"/>
    </xf>
    <xf numFmtId="0" fontId="46" fillId="0" borderId="90" xfId="0" applyFont="1" applyBorder="1" applyAlignment="1">
      <alignment horizontal="center" vertical="center" shrinkToFit="1"/>
    </xf>
    <xf numFmtId="0" fontId="46" fillId="0" borderId="84" xfId="0" applyFont="1" applyBorder="1" applyAlignment="1">
      <alignment horizontal="center" vertical="center" shrinkToFit="1"/>
    </xf>
    <xf numFmtId="0" fontId="46" fillId="0" borderId="93" xfId="0" applyFont="1" applyBorder="1" applyAlignment="1">
      <alignment horizontal="center" vertical="center" shrinkToFit="1"/>
    </xf>
    <xf numFmtId="0" fontId="110" fillId="0" borderId="162" xfId="61" applyFont="1" applyBorder="1" applyAlignment="1">
      <alignment horizontal="center" shrinkToFit="1"/>
      <protection/>
    </xf>
    <xf numFmtId="0" fontId="110" fillId="0" borderId="154" xfId="61" applyFont="1" applyBorder="1" applyAlignment="1" applyProtection="1">
      <alignment horizontal="center"/>
      <protection/>
    </xf>
    <xf numFmtId="0" fontId="48" fillId="0" borderId="153" xfId="0" applyFont="1" applyBorder="1" applyAlignment="1">
      <alignment horizontal="center" vertical="center" shrinkToFit="1"/>
    </xf>
    <xf numFmtId="0" fontId="48" fillId="0" borderId="154" xfId="0" applyFont="1" applyBorder="1" applyAlignment="1">
      <alignment horizontal="center" vertical="center" shrinkToFit="1"/>
    </xf>
    <xf numFmtId="0" fontId="48" fillId="0" borderId="155" xfId="0" applyFont="1" applyBorder="1" applyAlignment="1">
      <alignment horizontal="center" vertical="center" shrinkToFit="1"/>
    </xf>
    <xf numFmtId="0" fontId="48" fillId="0" borderId="156" xfId="0" applyFont="1" applyBorder="1" applyAlignment="1">
      <alignment horizontal="center" vertical="center" shrinkToFit="1"/>
    </xf>
    <xf numFmtId="0" fontId="48" fillId="0" borderId="157" xfId="0" applyFont="1" applyBorder="1" applyAlignment="1">
      <alignment horizontal="center" vertical="center" shrinkToFit="1"/>
    </xf>
    <xf numFmtId="0" fontId="48" fillId="0" borderId="158" xfId="0" applyFont="1" applyBorder="1" applyAlignment="1">
      <alignment horizontal="center" vertical="center" shrinkToFit="1"/>
    </xf>
    <xf numFmtId="0" fontId="48" fillId="0" borderId="159" xfId="0" applyFont="1" applyBorder="1" applyAlignment="1">
      <alignment horizontal="center" vertical="center" shrinkToFit="1"/>
    </xf>
    <xf numFmtId="0" fontId="48" fillId="0" borderId="160" xfId="0" applyFont="1" applyBorder="1" applyAlignment="1">
      <alignment horizontal="center" vertical="center" shrinkToFit="1"/>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0" xfId="0" applyBorder="1" applyAlignment="1">
      <alignment vertical="center"/>
    </xf>
    <xf numFmtId="0" fontId="0" fillId="0" borderId="49" xfId="0" applyBorder="1" applyAlignment="1">
      <alignment vertical="center"/>
    </xf>
    <xf numFmtId="0" fontId="0" fillId="0" borderId="90" xfId="0" applyBorder="1" applyAlignment="1">
      <alignment vertical="center"/>
    </xf>
    <xf numFmtId="0" fontId="0" fillId="0" borderId="84" xfId="0" applyBorder="1" applyAlignment="1">
      <alignment vertical="center"/>
    </xf>
    <xf numFmtId="0" fontId="0" fillId="0" borderId="93" xfId="0" applyBorder="1" applyAlignment="1">
      <alignment vertical="center"/>
    </xf>
    <xf numFmtId="0" fontId="118" fillId="50" borderId="0" xfId="61" applyFont="1" applyFill="1" applyAlignment="1" applyProtection="1">
      <alignment horizontal="center" vertical="center" shrinkToFit="1"/>
      <protection/>
    </xf>
    <xf numFmtId="0" fontId="110" fillId="0" borderId="162" xfId="61" applyFont="1" applyBorder="1" applyAlignment="1">
      <alignment horizontal="center"/>
      <protection/>
    </xf>
    <xf numFmtId="0" fontId="48" fillId="0" borderId="45" xfId="61" applyFont="1" applyBorder="1" applyAlignment="1" applyProtection="1">
      <alignment horizontal="center" vertical="center"/>
      <protection/>
    </xf>
    <xf numFmtId="0" fontId="48" fillId="0" borderId="46" xfId="61" applyFont="1" applyBorder="1" applyAlignment="1" applyProtection="1">
      <alignment horizontal="center" vertical="center"/>
      <protection/>
    </xf>
    <xf numFmtId="0" fontId="48" fillId="0" borderId="47" xfId="61" applyFont="1" applyBorder="1" applyAlignment="1" applyProtection="1">
      <alignment horizontal="center" vertical="center"/>
      <protection/>
    </xf>
    <xf numFmtId="0" fontId="48" fillId="0" borderId="48" xfId="61" applyFont="1" applyBorder="1" applyAlignment="1" applyProtection="1">
      <alignment horizontal="center" vertical="center"/>
      <protection/>
    </xf>
    <xf numFmtId="0" fontId="48" fillId="0" borderId="0" xfId="61" applyFont="1" applyBorder="1" applyAlignment="1" applyProtection="1">
      <alignment horizontal="center" vertical="center"/>
      <protection/>
    </xf>
    <xf numFmtId="0" fontId="48" fillId="0" borderId="49" xfId="61" applyFont="1" applyBorder="1" applyAlignment="1" applyProtection="1">
      <alignment horizontal="center" vertical="center"/>
      <protection/>
    </xf>
    <xf numFmtId="0" fontId="48" fillId="0" borderId="90" xfId="61" applyFont="1" applyBorder="1" applyAlignment="1" applyProtection="1">
      <alignment horizontal="center" vertical="center"/>
      <protection/>
    </xf>
    <xf numFmtId="0" fontId="48" fillId="0" borderId="84" xfId="61" applyFont="1" applyBorder="1" applyAlignment="1" applyProtection="1">
      <alignment horizontal="center" vertical="center"/>
      <protection/>
    </xf>
    <xf numFmtId="0" fontId="48" fillId="0" borderId="93" xfId="61" applyFont="1" applyBorder="1" applyAlignment="1" applyProtection="1">
      <alignment horizontal="center" vertical="center"/>
      <protection/>
    </xf>
    <xf numFmtId="0" fontId="51" fillId="50" borderId="0" xfId="61" applyFont="1" applyFill="1" applyAlignment="1" applyProtection="1">
      <alignment horizontal="center" vertical="center" shrinkToFit="1"/>
      <protection/>
    </xf>
    <xf numFmtId="0" fontId="53" fillId="0" borderId="45" xfId="63" applyNumberFormat="1" applyFont="1" applyBorder="1" applyAlignment="1">
      <alignment horizontal="center" vertical="center"/>
      <protection/>
    </xf>
    <xf numFmtId="0" fontId="60" fillId="0" borderId="45" xfId="63" applyNumberFormat="1" applyFont="1" applyBorder="1" applyAlignment="1">
      <alignment horizontal="center" vertical="center" shrinkToFit="1"/>
      <protection/>
    </xf>
    <xf numFmtId="0" fontId="46" fillId="0" borderId="46" xfId="0" applyFont="1" applyBorder="1" applyAlignment="1">
      <alignment horizontal="center" vertical="center" shrinkToFit="1"/>
    </xf>
    <xf numFmtId="0" fontId="132" fillId="50" borderId="0" xfId="61" applyFont="1" applyFill="1" applyAlignment="1" applyProtection="1">
      <alignment horizontal="center" vertical="center"/>
      <protection/>
    </xf>
    <xf numFmtId="9" fontId="126" fillId="0" borderId="45" xfId="63" applyNumberFormat="1" applyFont="1" applyBorder="1" applyAlignment="1">
      <alignment horizontal="center" vertical="center" shrinkToFit="1"/>
      <protection/>
    </xf>
    <xf numFmtId="9" fontId="113" fillId="0" borderId="46" xfId="0" applyNumberFormat="1" applyFont="1" applyBorder="1" applyAlignment="1">
      <alignment horizontal="center" vertical="center" shrinkToFit="1"/>
    </xf>
    <xf numFmtId="9" fontId="113" fillId="0" borderId="47" xfId="0" applyNumberFormat="1" applyFont="1" applyBorder="1" applyAlignment="1">
      <alignment horizontal="center" vertical="center" shrinkToFit="1"/>
    </xf>
    <xf numFmtId="9" fontId="113" fillId="0" borderId="48" xfId="0" applyNumberFormat="1" applyFont="1" applyBorder="1" applyAlignment="1">
      <alignment horizontal="center" vertical="center" shrinkToFit="1"/>
    </xf>
    <xf numFmtId="9" fontId="113" fillId="0" borderId="0" xfId="0" applyNumberFormat="1" applyFont="1" applyBorder="1" applyAlignment="1">
      <alignment horizontal="center" vertical="center" shrinkToFit="1"/>
    </xf>
    <xf numFmtId="9" fontId="113" fillId="0" borderId="49" xfId="0" applyNumberFormat="1" applyFont="1" applyBorder="1" applyAlignment="1">
      <alignment horizontal="center" vertical="center" shrinkToFit="1"/>
    </xf>
    <xf numFmtId="9" fontId="113" fillId="0" borderId="90" xfId="0" applyNumberFormat="1" applyFont="1" applyBorder="1" applyAlignment="1">
      <alignment horizontal="center" vertical="center" shrinkToFit="1"/>
    </xf>
    <xf numFmtId="9" fontId="113" fillId="0" borderId="84" xfId="0" applyNumberFormat="1" applyFont="1" applyBorder="1" applyAlignment="1">
      <alignment horizontal="center" vertical="center" shrinkToFit="1"/>
    </xf>
    <xf numFmtId="9" fontId="113" fillId="0" borderId="93" xfId="0" applyNumberFormat="1" applyFont="1" applyBorder="1" applyAlignment="1">
      <alignment horizontal="center" vertical="center" shrinkToFit="1"/>
    </xf>
    <xf numFmtId="0" fontId="39" fillId="0" borderId="96" xfId="61" applyFont="1" applyFill="1" applyBorder="1" applyAlignment="1" applyProtection="1">
      <alignment horizontal="center"/>
      <protection hidden="1"/>
    </xf>
    <xf numFmtId="0" fontId="39" fillId="0" borderId="163" xfId="61" applyFont="1" applyFill="1" applyBorder="1" applyAlignment="1" applyProtection="1">
      <alignment horizontal="center"/>
      <protection hidden="1"/>
    </xf>
    <xf numFmtId="0" fontId="39" fillId="0" borderId="97" xfId="61" applyFont="1" applyFill="1" applyBorder="1" applyAlignment="1" applyProtection="1">
      <alignment horizontal="center"/>
      <protection hidden="1"/>
    </xf>
    <xf numFmtId="49" fontId="102" fillId="0" borderId="48" xfId="61" applyNumberFormat="1" applyFont="1" applyFill="1" applyBorder="1" applyAlignment="1" applyProtection="1">
      <alignment horizontal="left" vertical="center" wrapText="1"/>
      <protection locked="0"/>
    </xf>
    <xf numFmtId="49" fontId="102" fillId="0" borderId="0" xfId="61" applyNumberFormat="1" applyFont="1" applyFill="1" applyBorder="1" applyAlignment="1" applyProtection="1">
      <alignment horizontal="left" vertical="center" wrapText="1"/>
      <protection locked="0"/>
    </xf>
    <xf numFmtId="49" fontId="102" fillId="0" borderId="49" xfId="61" applyNumberFormat="1" applyFont="1" applyFill="1" applyBorder="1" applyAlignment="1" applyProtection="1">
      <alignment horizontal="left" vertical="center" wrapText="1"/>
      <protection locked="0"/>
    </xf>
    <xf numFmtId="0" fontId="126" fillId="0" borderId="45" xfId="63" applyNumberFormat="1" applyFont="1" applyBorder="1" applyAlignment="1">
      <alignment horizontal="center" vertical="center" shrinkToFit="1"/>
      <protection/>
    </xf>
    <xf numFmtId="0" fontId="113" fillId="0" borderId="46" xfId="0" applyFont="1" applyBorder="1" applyAlignment="1">
      <alignment horizontal="center" vertical="center" shrinkToFit="1"/>
    </xf>
    <xf numFmtId="0" fontId="113" fillId="0" borderId="47" xfId="0" applyFont="1" applyBorder="1" applyAlignment="1">
      <alignment horizontal="center" vertical="center" shrinkToFit="1"/>
    </xf>
    <xf numFmtId="0" fontId="113" fillId="0" borderId="48" xfId="0" applyFont="1" applyBorder="1" applyAlignment="1">
      <alignment horizontal="center" vertical="center" shrinkToFit="1"/>
    </xf>
    <xf numFmtId="0" fontId="113" fillId="0" borderId="0" xfId="0" applyFont="1" applyBorder="1" applyAlignment="1">
      <alignment horizontal="center" vertical="center" shrinkToFit="1"/>
    </xf>
    <xf numFmtId="0" fontId="113" fillId="0" borderId="49" xfId="0" applyFont="1" applyBorder="1" applyAlignment="1">
      <alignment horizontal="center" vertical="center" shrinkToFit="1"/>
    </xf>
    <xf numFmtId="0" fontId="113" fillId="0" borderId="90" xfId="0" applyFont="1" applyBorder="1" applyAlignment="1">
      <alignment horizontal="center" vertical="center" shrinkToFit="1"/>
    </xf>
    <xf numFmtId="0" fontId="113" fillId="0" borderId="84" xfId="0" applyFont="1" applyBorder="1" applyAlignment="1">
      <alignment horizontal="center" vertical="center" shrinkToFit="1"/>
    </xf>
    <xf numFmtId="0" fontId="113" fillId="0" borderId="93" xfId="0" applyFont="1" applyBorder="1" applyAlignment="1">
      <alignment horizontal="center" vertical="center" shrinkToFit="1"/>
    </xf>
    <xf numFmtId="0" fontId="132" fillId="50" borderId="0" xfId="61" applyFont="1" applyFill="1" applyAlignment="1" applyProtection="1">
      <alignment horizontal="center" vertical="center" shrinkToFit="1"/>
      <protection/>
    </xf>
    <xf numFmtId="49" fontId="102" fillId="0" borderId="121" xfId="61" applyNumberFormat="1" applyFont="1" applyFill="1" applyBorder="1" applyAlignment="1" applyProtection="1">
      <alignment horizontal="left" vertical="center" wrapText="1"/>
      <protection locked="0"/>
    </xf>
    <xf numFmtId="49" fontId="102" fillId="0" borderId="11" xfId="61" applyNumberFormat="1" applyFont="1" applyFill="1" applyBorder="1" applyAlignment="1" applyProtection="1">
      <alignment horizontal="left" vertical="center" wrapText="1"/>
      <protection locked="0"/>
    </xf>
    <xf numFmtId="49" fontId="102" fillId="0" borderId="114" xfId="61" applyNumberFormat="1" applyFont="1" applyFill="1" applyBorder="1" applyAlignment="1" applyProtection="1">
      <alignment horizontal="left" vertical="center" wrapText="1"/>
      <protection locked="0"/>
    </xf>
    <xf numFmtId="49" fontId="102" fillId="0" borderId="90" xfId="61" applyNumberFormat="1" applyFont="1" applyFill="1" applyBorder="1" applyAlignment="1" applyProtection="1">
      <alignment horizontal="left" vertical="center" wrapText="1"/>
      <protection locked="0"/>
    </xf>
    <xf numFmtId="49" fontId="102" fillId="0" borderId="84" xfId="61" applyNumberFormat="1" applyFont="1" applyFill="1" applyBorder="1" applyAlignment="1" applyProtection="1">
      <alignment horizontal="left" vertical="center" wrapText="1"/>
      <protection locked="0"/>
    </xf>
    <xf numFmtId="49" fontId="102" fillId="0" borderId="93" xfId="61" applyNumberFormat="1" applyFont="1" applyFill="1" applyBorder="1" applyAlignment="1" applyProtection="1">
      <alignment horizontal="left" vertical="center" wrapText="1"/>
      <protection locked="0"/>
    </xf>
    <xf numFmtId="0" fontId="56" fillId="0" borderId="0" xfId="61" applyFont="1" applyBorder="1" applyAlignment="1" applyProtection="1">
      <alignment vertical="center"/>
      <protection/>
    </xf>
    <xf numFmtId="0" fontId="116" fillId="0" borderId="45" xfId="63" applyNumberFormat="1" applyFont="1" applyBorder="1" applyAlignment="1">
      <alignment horizontal="center" vertical="center" shrinkToFit="1"/>
      <protection/>
    </xf>
    <xf numFmtId="0" fontId="100" fillId="0" borderId="46" xfId="0" applyFont="1" applyBorder="1" applyAlignment="1">
      <alignment horizontal="center" vertical="center" shrinkToFit="1"/>
    </xf>
    <xf numFmtId="0" fontId="100" fillId="0" borderId="47" xfId="0" applyFont="1" applyBorder="1" applyAlignment="1">
      <alignment horizontal="center" vertical="center" shrinkToFit="1"/>
    </xf>
    <xf numFmtId="0" fontId="100" fillId="0" borderId="48" xfId="0" applyFont="1" applyBorder="1" applyAlignment="1">
      <alignment horizontal="center" vertical="center" shrinkToFit="1"/>
    </xf>
    <xf numFmtId="0" fontId="100" fillId="0" borderId="49" xfId="0" applyFont="1" applyBorder="1" applyAlignment="1">
      <alignment horizontal="center" vertical="center" shrinkToFit="1"/>
    </xf>
    <xf numFmtId="0" fontId="100" fillId="0" borderId="90" xfId="0" applyFont="1" applyBorder="1" applyAlignment="1">
      <alignment horizontal="center" vertical="center" shrinkToFit="1"/>
    </xf>
    <xf numFmtId="0" fontId="100" fillId="0" borderId="84" xfId="0" applyFont="1" applyBorder="1" applyAlignment="1">
      <alignment horizontal="center" vertical="center" shrinkToFit="1"/>
    </xf>
    <xf numFmtId="0" fontId="100" fillId="0" borderId="93" xfId="0" applyFont="1" applyBorder="1" applyAlignment="1">
      <alignment horizontal="center" vertical="center" shrinkToFit="1"/>
    </xf>
    <xf numFmtId="0" fontId="39" fillId="0" borderId="0" xfId="61" applyFont="1" applyBorder="1" applyAlignment="1">
      <alignment horizontal="center" vertical="center" wrapText="1"/>
      <protection/>
    </xf>
    <xf numFmtId="0" fontId="39" fillId="0" borderId="0" xfId="61" applyFont="1" applyBorder="1" applyAlignment="1">
      <alignment horizontal="center" vertical="center"/>
      <protection/>
    </xf>
    <xf numFmtId="0" fontId="119" fillId="0" borderId="121" xfId="61" applyFont="1" applyFill="1" applyBorder="1" applyAlignment="1" applyProtection="1">
      <alignment horizontal="center" shrinkToFit="1"/>
      <protection/>
    </xf>
    <xf numFmtId="0" fontId="119" fillId="0" borderId="11" xfId="61" applyFont="1" applyFill="1" applyBorder="1" applyAlignment="1" applyProtection="1">
      <alignment horizontal="center" shrinkToFit="1"/>
      <protection/>
    </xf>
    <xf numFmtId="0" fontId="119" fillId="0" borderId="19" xfId="61" applyFont="1" applyFill="1" applyBorder="1" applyAlignment="1" applyProtection="1">
      <alignment horizontal="center" shrinkToFit="1"/>
      <protection/>
    </xf>
    <xf numFmtId="0" fontId="100" fillId="0" borderId="143" xfId="61" applyNumberFormat="1" applyFont="1" applyFill="1" applyBorder="1" applyAlignment="1" applyProtection="1">
      <alignment horizontal="center" vertical="center" shrinkToFit="1"/>
      <protection/>
    </xf>
    <xf numFmtId="0" fontId="100" fillId="0" borderId="161" xfId="61" applyNumberFormat="1" applyFont="1" applyFill="1" applyBorder="1" applyAlignment="1" applyProtection="1">
      <alignment horizontal="center" vertical="center" shrinkToFit="1"/>
      <protection/>
    </xf>
    <xf numFmtId="0" fontId="100" fillId="0" borderId="144" xfId="61" applyNumberFormat="1" applyFont="1" applyFill="1" applyBorder="1" applyAlignment="1" applyProtection="1">
      <alignment horizontal="center" vertical="center" shrinkToFit="1"/>
      <protection/>
    </xf>
    <xf numFmtId="0" fontId="100" fillId="0" borderId="45" xfId="61" applyNumberFormat="1" applyFont="1" applyBorder="1" applyAlignment="1" applyProtection="1">
      <alignment horizontal="center" shrinkToFit="1"/>
      <protection/>
    </xf>
    <xf numFmtId="0" fontId="100" fillId="0" borderId="46" xfId="61" applyNumberFormat="1" applyFont="1" applyBorder="1" applyAlignment="1" applyProtection="1">
      <alignment horizontal="center" shrinkToFit="1"/>
      <protection/>
    </xf>
    <xf numFmtId="0" fontId="100" fillId="0" borderId="47" xfId="61" applyNumberFormat="1" applyFont="1" applyBorder="1" applyAlignment="1" applyProtection="1">
      <alignment horizontal="center" shrinkToFit="1"/>
      <protection/>
    </xf>
    <xf numFmtId="0" fontId="100" fillId="0" borderId="90" xfId="61" applyNumberFormat="1" applyFont="1" applyBorder="1" applyAlignment="1" applyProtection="1">
      <alignment horizontal="center" shrinkToFit="1"/>
      <protection/>
    </xf>
    <xf numFmtId="0" fontId="100" fillId="0" borderId="84" xfId="61" applyNumberFormat="1" applyFont="1" applyBorder="1" applyAlignment="1" applyProtection="1">
      <alignment horizontal="center" shrinkToFit="1"/>
      <protection/>
    </xf>
    <xf numFmtId="0" fontId="100" fillId="0" borderId="93" xfId="61" applyNumberFormat="1" applyFont="1" applyBorder="1" applyAlignment="1" applyProtection="1">
      <alignment horizontal="center" shrinkToFit="1"/>
      <protection/>
    </xf>
    <xf numFmtId="0" fontId="100" fillId="0" borderId="0" xfId="61" applyFont="1" applyBorder="1" applyAlignment="1" applyProtection="1">
      <alignment horizontal="center" vertical="center" shrinkToFit="1"/>
      <protection/>
    </xf>
    <xf numFmtId="0" fontId="100" fillId="0" borderId="84" xfId="61" applyFont="1" applyBorder="1" applyAlignment="1" applyProtection="1">
      <alignment horizontal="center" vertical="center" shrinkToFit="1"/>
      <protection/>
    </xf>
    <xf numFmtId="0" fontId="101" fillId="0" borderId="141" xfId="61" applyFont="1" applyBorder="1" applyAlignment="1" applyProtection="1">
      <alignment horizontal="center" vertical="center" shrinkToFit="1"/>
      <protection/>
    </xf>
    <xf numFmtId="0" fontId="101" fillId="0" borderId="164" xfId="61" applyFont="1" applyBorder="1" applyAlignment="1" applyProtection="1">
      <alignment horizontal="center" vertical="center" shrinkToFit="1"/>
      <protection/>
    </xf>
    <xf numFmtId="0" fontId="109" fillId="0" borderId="165" xfId="61" applyFont="1" applyBorder="1" applyAlignment="1">
      <alignment horizontal="center"/>
      <protection/>
    </xf>
    <xf numFmtId="0" fontId="109" fillId="0" borderId="166" xfId="61" applyFont="1" applyBorder="1" applyAlignment="1">
      <alignment horizontal="center"/>
      <protection/>
    </xf>
    <xf numFmtId="0" fontId="109" fillId="0" borderId="167" xfId="61" applyFont="1" applyBorder="1" applyAlignment="1">
      <alignment horizontal="center"/>
      <protection/>
    </xf>
    <xf numFmtId="0" fontId="101" fillId="0" borderId="10" xfId="61" applyFont="1" applyBorder="1" applyAlignment="1" applyProtection="1">
      <alignment horizontal="left"/>
      <protection/>
    </xf>
    <xf numFmtId="0" fontId="101" fillId="0" borderId="11" xfId="61" applyFont="1" applyBorder="1" applyAlignment="1" applyProtection="1">
      <alignment horizontal="left"/>
      <protection/>
    </xf>
    <xf numFmtId="0" fontId="101" fillId="0" borderId="19" xfId="61" applyFont="1" applyBorder="1" applyAlignment="1" applyProtection="1">
      <alignment horizontal="left"/>
      <protection/>
    </xf>
    <xf numFmtId="0" fontId="101" fillId="0" borderId="15" xfId="61" applyFont="1" applyBorder="1" applyAlignment="1" applyProtection="1">
      <alignment horizontal="left"/>
      <protection/>
    </xf>
    <xf numFmtId="0" fontId="101" fillId="0" borderId="16" xfId="61" applyFont="1" applyBorder="1" applyAlignment="1" applyProtection="1">
      <alignment horizontal="left"/>
      <protection/>
    </xf>
    <xf numFmtId="0" fontId="101" fillId="0" borderId="17" xfId="61" applyFont="1" applyBorder="1" applyAlignment="1" applyProtection="1">
      <alignment horizontal="left"/>
      <protection/>
    </xf>
    <xf numFmtId="0" fontId="111" fillId="0" borderId="0" xfId="61" applyFont="1" applyFill="1" applyBorder="1" applyAlignment="1" applyProtection="1">
      <alignment horizontal="center" vertical="center" shrinkToFit="1"/>
      <protection/>
    </xf>
    <xf numFmtId="0" fontId="111" fillId="0" borderId="84" xfId="61" applyFont="1" applyFill="1" applyBorder="1" applyAlignment="1" applyProtection="1">
      <alignment horizontal="center" vertical="center" shrinkToFit="1"/>
      <protection/>
    </xf>
    <xf numFmtId="0" fontId="121" fillId="0" borderId="168" xfId="61" applyFont="1" applyFill="1" applyBorder="1" applyAlignment="1" applyProtection="1">
      <alignment horizontal="center" vertical="center" shrinkToFit="1"/>
      <protection/>
    </xf>
    <xf numFmtId="0" fontId="121" fillId="0" borderId="169" xfId="61" applyFont="1" applyFill="1" applyBorder="1" applyAlignment="1" applyProtection="1">
      <alignment horizontal="center" vertical="center" shrinkToFit="1"/>
      <protection/>
    </xf>
    <xf numFmtId="0" fontId="121" fillId="0" borderId="170" xfId="61" applyFont="1" applyFill="1" applyBorder="1" applyAlignment="1" applyProtection="1">
      <alignment horizontal="center" vertical="center" shrinkToFit="1"/>
      <protection/>
    </xf>
    <xf numFmtId="0" fontId="121" fillId="0" borderId="171" xfId="61" applyFont="1" applyFill="1" applyBorder="1" applyAlignment="1" applyProtection="1">
      <alignment horizontal="center" vertical="center" shrinkToFit="1"/>
      <protection/>
    </xf>
    <xf numFmtId="0" fontId="121" fillId="0" borderId="172" xfId="61" applyFont="1" applyFill="1" applyBorder="1" applyAlignment="1" applyProtection="1">
      <alignment horizontal="center" vertical="center" shrinkToFit="1"/>
      <protection/>
    </xf>
    <xf numFmtId="0" fontId="121" fillId="0" borderId="173" xfId="61" applyFont="1" applyFill="1" applyBorder="1" applyAlignment="1" applyProtection="1">
      <alignment horizontal="center" vertical="center" shrinkToFit="1"/>
      <protection/>
    </xf>
    <xf numFmtId="0" fontId="132" fillId="50" borderId="12" xfId="61" applyFont="1" applyFill="1" applyBorder="1" applyAlignment="1" applyProtection="1">
      <alignment horizontal="center" vertical="center" shrinkToFit="1"/>
      <protection/>
    </xf>
    <xf numFmtId="0" fontId="132" fillId="50" borderId="0" xfId="61" applyFont="1" applyFill="1" applyBorder="1" applyAlignment="1" applyProtection="1">
      <alignment horizontal="center" vertical="center" shrinkToFit="1"/>
      <protection/>
    </xf>
    <xf numFmtId="0" fontId="111" fillId="0" borderId="14" xfId="61" applyFont="1" applyBorder="1" applyAlignment="1" applyProtection="1">
      <alignment horizontal="left" vertical="center" shrinkToFit="1"/>
      <protection/>
    </xf>
    <xf numFmtId="0" fontId="111" fillId="0" borderId="18" xfId="61" applyFont="1" applyBorder="1" applyAlignment="1" applyProtection="1">
      <alignment horizontal="left" vertical="center" shrinkToFit="1"/>
      <protection/>
    </xf>
    <xf numFmtId="0" fontId="111" fillId="0" borderId="77" xfId="61" applyFont="1" applyBorder="1" applyAlignment="1" applyProtection="1">
      <alignment horizontal="left" vertical="center" shrinkToFit="1"/>
      <protection/>
    </xf>
    <xf numFmtId="0" fontId="122" fillId="0" borderId="45" xfId="61" applyNumberFormat="1" applyFont="1" applyBorder="1" applyAlignment="1" applyProtection="1">
      <alignment horizontal="center" shrinkToFit="1"/>
      <protection/>
    </xf>
    <xf numFmtId="0" fontId="122" fillId="0" borderId="46" xfId="61" applyNumberFormat="1" applyFont="1" applyBorder="1" applyAlignment="1" applyProtection="1">
      <alignment horizontal="center" shrinkToFit="1"/>
      <protection/>
    </xf>
    <xf numFmtId="0" fontId="122" fillId="0" borderId="47" xfId="61" applyNumberFormat="1" applyFont="1" applyBorder="1" applyAlignment="1" applyProtection="1">
      <alignment horizontal="center" shrinkToFit="1"/>
      <protection/>
    </xf>
    <xf numFmtId="0" fontId="122" fillId="0" borderId="90" xfId="61" applyNumberFormat="1" applyFont="1" applyBorder="1" applyAlignment="1" applyProtection="1">
      <alignment horizontal="center" shrinkToFit="1"/>
      <protection/>
    </xf>
    <xf numFmtId="0" fontId="122" fillId="0" borderId="84" xfId="61" applyNumberFormat="1" applyFont="1" applyBorder="1" applyAlignment="1" applyProtection="1">
      <alignment horizontal="center" shrinkToFit="1"/>
      <protection/>
    </xf>
    <xf numFmtId="0" fontId="122" fillId="0" borderId="93" xfId="61" applyNumberFormat="1" applyFont="1" applyBorder="1" applyAlignment="1" applyProtection="1">
      <alignment horizontal="center" shrinkToFit="1"/>
      <protection/>
    </xf>
    <xf numFmtId="0" fontId="119" fillId="0" borderId="0" xfId="61" applyFont="1" applyAlignment="1" applyProtection="1">
      <alignment horizontal="center" wrapText="1"/>
      <protection/>
    </xf>
    <xf numFmtId="0" fontId="100" fillId="0" borderId="0" xfId="61" applyFont="1" applyBorder="1" applyAlignment="1" applyProtection="1">
      <alignment horizontal="center" shrinkToFit="1"/>
      <protection/>
    </xf>
    <xf numFmtId="0" fontId="39" fillId="0" borderId="0" xfId="61" applyFont="1" applyFill="1" applyBorder="1" applyAlignment="1" applyProtection="1">
      <alignment horizontal="center"/>
      <protection/>
    </xf>
    <xf numFmtId="0" fontId="121" fillId="0" borderId="143" xfId="61" applyFont="1" applyFill="1" applyBorder="1" applyAlignment="1" applyProtection="1">
      <alignment horizontal="center" vertical="center" shrinkToFit="1"/>
      <protection locked="0"/>
    </xf>
    <xf numFmtId="0" fontId="121" fillId="0" borderId="144" xfId="61" applyFont="1" applyFill="1" applyBorder="1" applyAlignment="1" applyProtection="1">
      <alignment horizontal="center" vertical="center" shrinkToFit="1"/>
      <protection locked="0"/>
    </xf>
    <xf numFmtId="197" fontId="111" fillId="41" borderId="143" xfId="61" applyNumberFormat="1" applyFont="1" applyFill="1" applyBorder="1" applyAlignment="1" applyProtection="1">
      <alignment horizontal="center" vertical="center"/>
      <protection/>
    </xf>
    <xf numFmtId="197" fontId="111" fillId="41" borderId="144" xfId="61" applyNumberFormat="1" applyFont="1" applyFill="1" applyBorder="1" applyAlignment="1" applyProtection="1">
      <alignment horizontal="center" vertical="center"/>
      <protection/>
    </xf>
    <xf numFmtId="0" fontId="119" fillId="0" borderId="12" xfId="61" applyFont="1" applyFill="1" applyBorder="1" applyAlignment="1" applyProtection="1">
      <alignment horizontal="center" shrinkToFit="1"/>
      <protection/>
    </xf>
    <xf numFmtId="0" fontId="119" fillId="0" borderId="0" xfId="61" applyFont="1" applyFill="1" applyBorder="1" applyAlignment="1" applyProtection="1">
      <alignment horizontal="center" shrinkToFit="1"/>
      <protection/>
    </xf>
    <xf numFmtId="0" fontId="119" fillId="0" borderId="13" xfId="61" applyFont="1" applyFill="1" applyBorder="1" applyAlignment="1" applyProtection="1">
      <alignment horizontal="center" shrinkToFit="1"/>
      <protection/>
    </xf>
    <xf numFmtId="0" fontId="109" fillId="0" borderId="165" xfId="61" applyNumberFormat="1" applyFont="1" applyBorder="1" applyAlignment="1" applyProtection="1">
      <alignment horizontal="center" shrinkToFit="1"/>
      <protection/>
    </xf>
    <xf numFmtId="0" fontId="109" fillId="0" borderId="166" xfId="61" applyNumberFormat="1" applyFont="1" applyBorder="1" applyAlignment="1" applyProtection="1">
      <alignment horizontal="center" shrinkToFit="1"/>
      <protection/>
    </xf>
    <xf numFmtId="0" fontId="109" fillId="0" borderId="167" xfId="61" applyNumberFormat="1" applyFont="1" applyBorder="1" applyAlignment="1" applyProtection="1">
      <alignment horizontal="center" shrinkToFit="1"/>
      <protection/>
    </xf>
    <xf numFmtId="0" fontId="111" fillId="41" borderId="143" xfId="61" applyFont="1" applyFill="1" applyBorder="1" applyAlignment="1" applyProtection="1">
      <alignment horizontal="center" vertical="center"/>
      <protection/>
    </xf>
    <xf numFmtId="0" fontId="111" fillId="41" borderId="144" xfId="61" applyFont="1" applyFill="1" applyBorder="1" applyAlignment="1" applyProtection="1">
      <alignment horizontal="center" vertical="center"/>
      <protection/>
    </xf>
    <xf numFmtId="0" fontId="111" fillId="0" borderId="143" xfId="61" applyFont="1" applyFill="1" applyBorder="1" applyAlignment="1" applyProtection="1">
      <alignment horizontal="center" vertical="center"/>
      <protection/>
    </xf>
    <xf numFmtId="0" fontId="111" fillId="0" borderId="144" xfId="61" applyFont="1" applyFill="1" applyBorder="1" applyAlignment="1" applyProtection="1">
      <alignment horizontal="center" vertical="center"/>
      <protection/>
    </xf>
    <xf numFmtId="0" fontId="119" fillId="0" borderId="49" xfId="61" applyFont="1" applyBorder="1" applyAlignment="1" applyProtection="1">
      <alignment horizontal="center" wrapText="1"/>
      <protection/>
    </xf>
    <xf numFmtId="196" fontId="111" fillId="0" borderId="143" xfId="61" applyNumberFormat="1" applyFont="1" applyFill="1" applyBorder="1" applyAlignment="1" applyProtection="1">
      <alignment horizontal="center" vertical="center"/>
      <protection/>
    </xf>
    <xf numFmtId="196" fontId="111" fillId="0" borderId="144" xfId="61" applyNumberFormat="1" applyFont="1" applyFill="1" applyBorder="1" applyAlignment="1" applyProtection="1">
      <alignment horizontal="center" vertical="center"/>
      <protection/>
    </xf>
    <xf numFmtId="0" fontId="101" fillId="0" borderId="143" xfId="61" applyFont="1" applyBorder="1" applyAlignment="1">
      <alignment horizontal="center" vertical="center"/>
      <protection/>
    </xf>
    <xf numFmtId="0" fontId="101" fillId="0" borderId="144" xfId="61" applyFont="1" applyBorder="1" applyAlignment="1">
      <alignment horizontal="center" vertical="center"/>
      <protection/>
    </xf>
    <xf numFmtId="9" fontId="111" fillId="0" borderId="143" xfId="42" applyFont="1" applyFill="1" applyBorder="1" applyAlignment="1" applyProtection="1">
      <alignment horizontal="center" vertical="center"/>
      <protection/>
    </xf>
    <xf numFmtId="9" fontId="111" fillId="0" borderId="144" xfId="42" applyFont="1" applyFill="1" applyBorder="1" applyAlignment="1" applyProtection="1">
      <alignment horizontal="center" vertical="center"/>
      <protection/>
    </xf>
    <xf numFmtId="0" fontId="111" fillId="0" borderId="134" xfId="61" applyFont="1" applyFill="1" applyBorder="1" applyAlignment="1" applyProtection="1">
      <alignment horizontal="center" vertical="center" shrinkToFit="1"/>
      <protection/>
    </xf>
    <xf numFmtId="0" fontId="100" fillId="0" borderId="134" xfId="0" applyFont="1" applyBorder="1" applyAlignment="1">
      <alignment horizontal="center" vertical="center" shrinkToFit="1"/>
    </xf>
    <xf numFmtId="0" fontId="111" fillId="0" borderId="159" xfId="61" applyFont="1" applyFill="1" applyBorder="1" applyAlignment="1" applyProtection="1">
      <alignment horizontal="center" vertical="center" shrinkToFit="1"/>
      <protection/>
    </xf>
    <xf numFmtId="0" fontId="39" fillId="0" borderId="134" xfId="61" applyFont="1" applyBorder="1" applyAlignment="1" applyProtection="1">
      <alignment horizontal="center" vertical="center" wrapText="1"/>
      <protection/>
    </xf>
    <xf numFmtId="0" fontId="121" fillId="0" borderId="0" xfId="61" applyFont="1" applyAlignment="1" applyProtection="1">
      <alignment horizontal="center" vertical="center" wrapText="1"/>
      <protection/>
    </xf>
    <xf numFmtId="196" fontId="113" fillId="0" borderId="45" xfId="61" applyNumberFormat="1" applyFont="1" applyBorder="1" applyAlignment="1" applyProtection="1">
      <alignment horizontal="center" vertical="center" shrinkToFit="1"/>
      <protection/>
    </xf>
    <xf numFmtId="196" fontId="113" fillId="0" borderId="46" xfId="61" applyNumberFormat="1" applyFont="1" applyBorder="1" applyAlignment="1" applyProtection="1">
      <alignment horizontal="center" vertical="center" shrinkToFit="1"/>
      <protection/>
    </xf>
    <xf numFmtId="196" fontId="113" fillId="0" borderId="47" xfId="61" applyNumberFormat="1" applyFont="1" applyBorder="1" applyAlignment="1" applyProtection="1">
      <alignment horizontal="center" vertical="center" shrinkToFit="1"/>
      <protection/>
    </xf>
    <xf numFmtId="196" fontId="113" fillId="0" borderId="48" xfId="61" applyNumberFormat="1" applyFont="1" applyBorder="1" applyAlignment="1" applyProtection="1">
      <alignment horizontal="center" vertical="center" shrinkToFit="1"/>
      <protection/>
    </xf>
    <xf numFmtId="196" fontId="113" fillId="0" borderId="0" xfId="61" applyNumberFormat="1" applyFont="1" applyBorder="1" applyAlignment="1" applyProtection="1">
      <alignment horizontal="center" vertical="center" shrinkToFit="1"/>
      <protection/>
    </xf>
    <xf numFmtId="196" fontId="113" fillId="0" borderId="49" xfId="61" applyNumberFormat="1" applyFont="1" applyBorder="1" applyAlignment="1" applyProtection="1">
      <alignment horizontal="center" vertical="center" shrinkToFit="1"/>
      <protection/>
    </xf>
    <xf numFmtId="196" fontId="113" fillId="0" borderId="90" xfId="61" applyNumberFormat="1" applyFont="1" applyBorder="1" applyAlignment="1" applyProtection="1">
      <alignment horizontal="center" vertical="center" shrinkToFit="1"/>
      <protection/>
    </xf>
    <xf numFmtId="196" fontId="113" fillId="0" borderId="84" xfId="61" applyNumberFormat="1" applyFont="1" applyBorder="1" applyAlignment="1" applyProtection="1">
      <alignment horizontal="center" vertical="center" shrinkToFit="1"/>
      <protection/>
    </xf>
    <xf numFmtId="196" fontId="113" fillId="0" borderId="93" xfId="61" applyNumberFormat="1" applyFont="1" applyBorder="1" applyAlignment="1" applyProtection="1">
      <alignment horizontal="center" vertical="center" shrinkToFit="1"/>
      <protection/>
    </xf>
    <xf numFmtId="196" fontId="113" fillId="0" borderId="45" xfId="61" applyNumberFormat="1" applyFont="1" applyBorder="1" applyAlignment="1">
      <alignment horizontal="center" vertical="center"/>
      <protection/>
    </xf>
    <xf numFmtId="0" fontId="113" fillId="0" borderId="46" xfId="61" applyFont="1" applyBorder="1" applyAlignment="1">
      <alignment horizontal="center" vertical="center"/>
      <protection/>
    </xf>
    <xf numFmtId="0" fontId="113" fillId="0" borderId="47" xfId="61" applyFont="1" applyBorder="1" applyAlignment="1">
      <alignment horizontal="center" vertical="center"/>
      <protection/>
    </xf>
    <xf numFmtId="0" fontId="113" fillId="0" borderId="48" xfId="61" applyFont="1" applyBorder="1" applyAlignment="1">
      <alignment horizontal="center" vertical="center"/>
      <protection/>
    </xf>
    <xf numFmtId="0" fontId="113" fillId="0" borderId="0" xfId="61" applyFont="1" applyBorder="1" applyAlignment="1">
      <alignment horizontal="center" vertical="center"/>
      <protection/>
    </xf>
    <xf numFmtId="0" fontId="113" fillId="0" borderId="49" xfId="61" applyFont="1" applyBorder="1" applyAlignment="1">
      <alignment horizontal="center" vertical="center"/>
      <protection/>
    </xf>
    <xf numFmtId="0" fontId="113" fillId="0" borderId="90" xfId="61" applyFont="1" applyBorder="1" applyAlignment="1">
      <alignment horizontal="center" vertical="center"/>
      <protection/>
    </xf>
    <xf numFmtId="0" fontId="113" fillId="0" borderId="84" xfId="61" applyFont="1" applyBorder="1" applyAlignment="1">
      <alignment horizontal="center" vertical="center"/>
      <protection/>
    </xf>
    <xf numFmtId="0" fontId="113" fillId="0" borderId="93" xfId="61" applyFont="1" applyBorder="1" applyAlignment="1">
      <alignment horizontal="center" vertical="center"/>
      <protection/>
    </xf>
    <xf numFmtId="196" fontId="100" fillId="0" borderId="45" xfId="61" applyNumberFormat="1" applyFont="1" applyFill="1" applyBorder="1" applyAlignment="1" applyProtection="1">
      <alignment horizontal="center" vertical="center"/>
      <protection/>
    </xf>
    <xf numFmtId="196" fontId="100" fillId="0" borderId="46" xfId="61" applyNumberFormat="1" applyFont="1" applyFill="1" applyBorder="1" applyAlignment="1" applyProtection="1">
      <alignment horizontal="center" vertical="center"/>
      <protection/>
    </xf>
    <xf numFmtId="196" fontId="100" fillId="0" borderId="47" xfId="61" applyNumberFormat="1" applyFont="1" applyFill="1" applyBorder="1" applyAlignment="1" applyProtection="1">
      <alignment horizontal="center" vertical="center"/>
      <protection/>
    </xf>
    <xf numFmtId="196" fontId="100" fillId="0" borderId="48" xfId="61" applyNumberFormat="1" applyFont="1" applyFill="1" applyBorder="1" applyAlignment="1" applyProtection="1">
      <alignment horizontal="center" vertical="center"/>
      <protection/>
    </xf>
    <xf numFmtId="196" fontId="100" fillId="0" borderId="0" xfId="61" applyNumberFormat="1" applyFont="1" applyFill="1" applyBorder="1" applyAlignment="1" applyProtection="1">
      <alignment horizontal="center" vertical="center"/>
      <protection/>
    </xf>
    <xf numFmtId="196" fontId="100" fillId="0" borderId="49" xfId="61" applyNumberFormat="1" applyFont="1" applyFill="1" applyBorder="1" applyAlignment="1" applyProtection="1">
      <alignment horizontal="center" vertical="center"/>
      <protection/>
    </xf>
    <xf numFmtId="196" fontId="100" fillId="0" borderId="90" xfId="61" applyNumberFormat="1" applyFont="1" applyFill="1" applyBorder="1" applyAlignment="1" applyProtection="1">
      <alignment horizontal="center" vertical="center"/>
      <protection/>
    </xf>
    <xf numFmtId="196" fontId="100" fillId="0" borderId="84" xfId="61" applyNumberFormat="1" applyFont="1" applyFill="1" applyBorder="1" applyAlignment="1" applyProtection="1">
      <alignment horizontal="center" vertical="center"/>
      <protection/>
    </xf>
    <xf numFmtId="196" fontId="100" fillId="0" borderId="93" xfId="61" applyNumberFormat="1" applyFont="1" applyFill="1" applyBorder="1" applyAlignment="1" applyProtection="1">
      <alignment horizontal="center" vertical="center"/>
      <protection/>
    </xf>
    <xf numFmtId="0" fontId="120" fillId="0" borderId="143" xfId="61" applyFont="1" applyFill="1" applyBorder="1" applyAlignment="1" applyProtection="1">
      <alignment horizontal="center" vertical="center" shrinkToFit="1"/>
      <protection/>
    </xf>
    <xf numFmtId="0" fontId="120" fillId="0" borderId="161" xfId="61" applyFont="1" applyFill="1" applyBorder="1" applyAlignment="1" applyProtection="1">
      <alignment horizontal="center" vertical="center" shrinkToFit="1"/>
      <protection/>
    </xf>
    <xf numFmtId="0" fontId="120" fillId="0" borderId="144" xfId="61" applyFont="1" applyFill="1" applyBorder="1" applyAlignment="1" applyProtection="1">
      <alignment horizontal="center" vertical="center" shrinkToFit="1"/>
      <protection/>
    </xf>
    <xf numFmtId="0" fontId="100" fillId="0" borderId="174" xfId="61" applyFont="1" applyBorder="1" applyAlignment="1">
      <alignment horizontal="center" vertical="center"/>
      <protection/>
    </xf>
    <xf numFmtId="0" fontId="100" fillId="0" borderId="162" xfId="61" applyFont="1" applyBorder="1" applyAlignment="1">
      <alignment horizontal="center" vertical="center"/>
      <protection/>
    </xf>
    <xf numFmtId="0" fontId="100" fillId="0" borderId="175" xfId="61" applyFont="1" applyBorder="1" applyAlignment="1">
      <alignment horizontal="center" vertical="center"/>
      <protection/>
    </xf>
    <xf numFmtId="196" fontId="100" fillId="0" borderId="45" xfId="61" applyNumberFormat="1" applyFont="1" applyBorder="1" applyAlignment="1">
      <alignment horizontal="center" vertical="center"/>
      <protection/>
    </xf>
    <xf numFmtId="0" fontId="100" fillId="0" borderId="46" xfId="61" applyFont="1" applyBorder="1" applyAlignment="1">
      <alignment horizontal="center" vertical="center"/>
      <protection/>
    </xf>
    <xf numFmtId="0" fontId="100" fillId="0" borderId="47" xfId="61" applyFont="1" applyBorder="1" applyAlignment="1">
      <alignment horizontal="center" vertical="center"/>
      <protection/>
    </xf>
    <xf numFmtId="0" fontId="100" fillId="0" borderId="48" xfId="61" applyFont="1" applyBorder="1" applyAlignment="1">
      <alignment horizontal="center" vertical="center"/>
      <protection/>
    </xf>
    <xf numFmtId="0" fontId="100" fillId="0" borderId="0" xfId="61" applyFont="1" applyBorder="1" applyAlignment="1">
      <alignment horizontal="center" vertical="center"/>
      <protection/>
    </xf>
    <xf numFmtId="0" fontId="100" fillId="0" borderId="49" xfId="61" applyFont="1" applyBorder="1" applyAlignment="1">
      <alignment horizontal="center" vertical="center"/>
      <protection/>
    </xf>
    <xf numFmtId="0" fontId="100" fillId="0" borderId="90" xfId="61" applyFont="1" applyBorder="1" applyAlignment="1">
      <alignment horizontal="center" vertical="center"/>
      <protection/>
    </xf>
    <xf numFmtId="0" fontId="100" fillId="0" borderId="84" xfId="61" applyFont="1" applyBorder="1" applyAlignment="1">
      <alignment horizontal="center" vertical="center"/>
      <protection/>
    </xf>
    <xf numFmtId="0" fontId="100" fillId="0" borderId="93" xfId="61" applyFont="1" applyBorder="1" applyAlignment="1">
      <alignment horizontal="center" vertical="center"/>
      <protection/>
    </xf>
    <xf numFmtId="0" fontId="39" fillId="0" borderId="0" xfId="61" applyFont="1" applyAlignment="1">
      <alignment horizontal="center" vertical="center" wrapText="1"/>
      <protection/>
    </xf>
    <xf numFmtId="0" fontId="39" fillId="0" borderId="84" xfId="61" applyFont="1" applyBorder="1" applyAlignment="1">
      <alignment horizontal="center" vertical="center" wrapText="1"/>
      <protection/>
    </xf>
    <xf numFmtId="0" fontId="104" fillId="0" borderId="0" xfId="61" applyFont="1" applyAlignment="1">
      <alignment horizontal="center" vertical="center"/>
      <protection/>
    </xf>
    <xf numFmtId="0" fontId="104" fillId="0" borderId="84" xfId="61" applyFont="1" applyBorder="1" applyAlignment="1">
      <alignment horizontal="center" vertical="center"/>
      <protection/>
    </xf>
    <xf numFmtId="0" fontId="131" fillId="50" borderId="131" xfId="61" applyFont="1" applyFill="1" applyBorder="1" applyAlignment="1" applyProtection="1">
      <alignment horizontal="center" vertical="center" shrinkToFit="1"/>
      <protection/>
    </xf>
    <xf numFmtId="0" fontId="131" fillId="50" borderId="0" xfId="61" applyFont="1" applyFill="1" applyBorder="1" applyAlignment="1" applyProtection="1">
      <alignment horizontal="center" vertical="center" shrinkToFit="1"/>
      <protection/>
    </xf>
    <xf numFmtId="0" fontId="100" fillId="0" borderId="143" xfId="61" applyFont="1" applyBorder="1" applyAlignment="1" applyProtection="1">
      <alignment horizontal="center" vertical="center"/>
      <protection/>
    </xf>
    <xf numFmtId="0" fontId="100" fillId="0" borderId="144" xfId="61" applyFont="1" applyBorder="1" applyAlignment="1" applyProtection="1">
      <alignment horizontal="center" vertical="center"/>
      <protection/>
    </xf>
    <xf numFmtId="0" fontId="100" fillId="0" borderId="143" xfId="61" applyFont="1" applyFill="1" applyBorder="1" applyAlignment="1" applyProtection="1">
      <alignment horizontal="center" vertical="center" shrinkToFit="1"/>
      <protection/>
    </xf>
    <xf numFmtId="0" fontId="100" fillId="0" borderId="161" xfId="61" applyFont="1" applyFill="1" applyBorder="1" applyAlignment="1" applyProtection="1">
      <alignment horizontal="center" vertical="center" shrinkToFit="1"/>
      <protection/>
    </xf>
    <xf numFmtId="0" fontId="100" fillId="0" borderId="144" xfId="61" applyFont="1" applyFill="1" applyBorder="1" applyAlignment="1" applyProtection="1">
      <alignment horizontal="center" vertical="center" shrinkToFit="1"/>
      <protection/>
    </xf>
    <xf numFmtId="0" fontId="39" fillId="0" borderId="12" xfId="61" applyFont="1" applyFill="1" applyBorder="1" applyAlignment="1" applyProtection="1">
      <alignment horizontal="center"/>
      <protection/>
    </xf>
    <xf numFmtId="0" fontId="39" fillId="0" borderId="13" xfId="61" applyFont="1" applyFill="1" applyBorder="1" applyAlignment="1" applyProtection="1">
      <alignment horizontal="center"/>
      <protection/>
    </xf>
    <xf numFmtId="0" fontId="101" fillId="0" borderId="126" xfId="61" applyFont="1" applyBorder="1" applyAlignment="1" applyProtection="1">
      <alignment horizontal="left"/>
      <protection/>
    </xf>
    <xf numFmtId="0" fontId="101" fillId="0" borderId="127" xfId="61" applyFont="1" applyBorder="1" applyAlignment="1" applyProtection="1">
      <alignment horizontal="left"/>
      <protection/>
    </xf>
    <xf numFmtId="0" fontId="101" fillId="0" borderId="176" xfId="61" applyFont="1" applyBorder="1" applyAlignment="1" applyProtection="1">
      <alignment horizontal="left"/>
      <protection/>
    </xf>
    <xf numFmtId="0" fontId="101" fillId="0" borderId="177" xfId="61" applyFont="1" applyBorder="1" applyAlignment="1" applyProtection="1">
      <alignment horizontal="left"/>
      <protection/>
    </xf>
    <xf numFmtId="0" fontId="101" fillId="0" borderId="178" xfId="61" applyFont="1" applyBorder="1" applyAlignment="1" applyProtection="1">
      <alignment horizontal="left"/>
      <protection/>
    </xf>
    <xf numFmtId="0" fontId="101" fillId="0" borderId="179" xfId="61" applyFont="1" applyBorder="1" applyAlignment="1" applyProtection="1">
      <alignment horizontal="left"/>
      <protection/>
    </xf>
    <xf numFmtId="0" fontId="133" fillId="50" borderId="10" xfId="61" applyFont="1" applyFill="1" applyBorder="1" applyAlignment="1" applyProtection="1">
      <alignment horizontal="center" vertical="center"/>
      <protection/>
    </xf>
    <xf numFmtId="0" fontId="133" fillId="50" borderId="11" xfId="61" applyFont="1" applyFill="1" applyBorder="1" applyAlignment="1" applyProtection="1">
      <alignment horizontal="center" vertical="center"/>
      <protection/>
    </xf>
    <xf numFmtId="0" fontId="133" fillId="50" borderId="19" xfId="61" applyFont="1" applyFill="1" applyBorder="1" applyAlignment="1" applyProtection="1">
      <alignment horizontal="center" vertical="center"/>
      <protection/>
    </xf>
    <xf numFmtId="0" fontId="133" fillId="50" borderId="15" xfId="61" applyFont="1" applyFill="1" applyBorder="1" applyAlignment="1" applyProtection="1">
      <alignment horizontal="center" vertical="center"/>
      <protection/>
    </xf>
    <xf numFmtId="0" fontId="133" fillId="50" borderId="16" xfId="61" applyFont="1" applyFill="1" applyBorder="1" applyAlignment="1" applyProtection="1">
      <alignment horizontal="center" vertical="center"/>
      <protection/>
    </xf>
    <xf numFmtId="0" fontId="133" fillId="50" borderId="17" xfId="61" applyFont="1" applyFill="1" applyBorder="1" applyAlignment="1" applyProtection="1">
      <alignment horizontal="center" vertical="center"/>
      <protection/>
    </xf>
    <xf numFmtId="0" fontId="119" fillId="0" borderId="0" xfId="61" applyFont="1" applyBorder="1" applyAlignment="1" applyProtection="1">
      <alignment horizontal="center" vertical="center" wrapText="1" shrinkToFit="1"/>
      <protection/>
    </xf>
    <xf numFmtId="0" fontId="109" fillId="0" borderId="128" xfId="61" applyFont="1" applyBorder="1" applyAlignment="1" applyProtection="1">
      <alignment vertical="center" wrapText="1"/>
      <protection/>
    </xf>
    <xf numFmtId="0" fontId="109" fillId="0" borderId="129" xfId="61" applyFont="1" applyBorder="1" applyAlignment="1" applyProtection="1">
      <alignment vertical="center" wrapText="1"/>
      <protection/>
    </xf>
    <xf numFmtId="0" fontId="109" fillId="0" borderId="130" xfId="61" applyFont="1" applyBorder="1" applyAlignment="1" applyProtection="1">
      <alignment vertical="center" wrapText="1"/>
      <protection/>
    </xf>
    <xf numFmtId="0" fontId="109" fillId="0" borderId="131" xfId="61" applyFont="1" applyBorder="1" applyAlignment="1" applyProtection="1">
      <alignment vertical="center" wrapText="1"/>
      <protection/>
    </xf>
    <xf numFmtId="0" fontId="109" fillId="0" borderId="0" xfId="61" applyFont="1" applyBorder="1" applyAlignment="1" applyProtection="1">
      <alignment vertical="center" wrapText="1"/>
      <protection/>
    </xf>
    <xf numFmtId="0" fontId="109" fillId="0" borderId="132" xfId="61" applyFont="1" applyBorder="1" applyAlignment="1" applyProtection="1">
      <alignment vertical="center" wrapText="1"/>
      <protection/>
    </xf>
    <xf numFmtId="0" fontId="109" fillId="0" borderId="133" xfId="61" applyFont="1" applyBorder="1" applyAlignment="1" applyProtection="1">
      <alignment vertical="center" wrapText="1"/>
      <protection/>
    </xf>
    <xf numFmtId="0" fontId="109" fillId="0" borderId="134" xfId="61" applyFont="1" applyBorder="1" applyAlignment="1" applyProtection="1">
      <alignment vertical="center" wrapText="1"/>
      <protection/>
    </xf>
    <xf numFmtId="0" fontId="109" fillId="0" borderId="135" xfId="61" applyFont="1" applyBorder="1" applyAlignment="1" applyProtection="1">
      <alignment vertical="center" wrapText="1"/>
      <protection/>
    </xf>
    <xf numFmtId="0" fontId="123" fillId="50" borderId="0" xfId="61" applyFont="1" applyFill="1" applyBorder="1" applyAlignment="1">
      <alignment horizontal="center" vertical="center" shrinkToFit="1"/>
      <protection/>
    </xf>
    <xf numFmtId="0" fontId="123" fillId="50" borderId="132" xfId="61" applyFont="1" applyFill="1" applyBorder="1" applyAlignment="1">
      <alignment horizontal="center" vertical="center" shrinkToFit="1"/>
      <protection/>
    </xf>
    <xf numFmtId="0" fontId="119" fillId="0" borderId="46" xfId="61" applyFont="1" applyBorder="1" applyAlignment="1">
      <alignment horizontal="center"/>
      <protection/>
    </xf>
    <xf numFmtId="0" fontId="109" fillId="0" borderId="14" xfId="61" applyFont="1" applyBorder="1" applyAlignment="1" applyProtection="1">
      <alignment horizontal="center" vertical="center"/>
      <protection locked="0"/>
    </xf>
    <xf numFmtId="0" fontId="109" fillId="0" borderId="18" xfId="61" applyFont="1" applyBorder="1" applyAlignment="1" applyProtection="1">
      <alignment horizontal="center" vertical="center"/>
      <protection locked="0"/>
    </xf>
    <xf numFmtId="0" fontId="119" fillId="0" borderId="0" xfId="61" applyFont="1" applyAlignment="1">
      <alignment horizontal="center" wrapText="1"/>
      <protection/>
    </xf>
    <xf numFmtId="0" fontId="119" fillId="0" borderId="0" xfId="61" applyFont="1" applyBorder="1" applyAlignment="1">
      <alignment horizontal="center" wrapText="1"/>
      <protection/>
    </xf>
    <xf numFmtId="0" fontId="109" fillId="0" borderId="45" xfId="61" applyNumberFormat="1" applyFont="1" applyFill="1" applyBorder="1" applyAlignment="1" applyProtection="1">
      <alignment horizontal="center" shrinkToFit="1"/>
      <protection/>
    </xf>
    <xf numFmtId="0" fontId="109" fillId="0" borderId="46" xfId="61" applyNumberFormat="1" applyFont="1" applyFill="1" applyBorder="1" applyAlignment="1" applyProtection="1">
      <alignment horizontal="center" shrinkToFit="1"/>
      <protection/>
    </xf>
    <xf numFmtId="0" fontId="109" fillId="0" borderId="47" xfId="61" applyNumberFormat="1" applyFont="1" applyFill="1" applyBorder="1" applyAlignment="1" applyProtection="1">
      <alignment horizontal="center" shrinkToFit="1"/>
      <protection/>
    </xf>
    <xf numFmtId="0" fontId="109" fillId="0" borderId="90" xfId="61" applyNumberFormat="1" applyFont="1" applyFill="1" applyBorder="1" applyAlignment="1" applyProtection="1">
      <alignment horizontal="center" shrinkToFit="1"/>
      <protection/>
    </xf>
    <xf numFmtId="0" fontId="109" fillId="0" borderId="84" xfId="61" applyNumberFormat="1" applyFont="1" applyFill="1" applyBorder="1" applyAlignment="1" applyProtection="1">
      <alignment horizontal="center" shrinkToFit="1"/>
      <protection/>
    </xf>
    <xf numFmtId="0" fontId="109" fillId="0" borderId="93" xfId="61" applyNumberFormat="1" applyFont="1" applyFill="1" applyBorder="1" applyAlignment="1" applyProtection="1">
      <alignment horizontal="center" shrinkToFit="1"/>
      <protection/>
    </xf>
    <xf numFmtId="0" fontId="99" fillId="0" borderId="164" xfId="61" applyFont="1" applyBorder="1" applyAlignment="1" applyProtection="1">
      <alignment horizontal="center" vertical="center" shrinkToFit="1"/>
      <protection/>
    </xf>
    <xf numFmtId="0" fontId="111" fillId="0" borderId="139" xfId="61" applyFont="1" applyBorder="1" applyAlignment="1" applyProtection="1">
      <alignment horizontal="left" vertical="center" shrinkToFit="1"/>
      <protection locked="0"/>
    </xf>
    <xf numFmtId="0" fontId="111" fillId="0" borderId="66" xfId="61" applyFont="1" applyBorder="1" applyAlignment="1" applyProtection="1">
      <alignment horizontal="left" vertical="center" shrinkToFit="1"/>
      <protection locked="0"/>
    </xf>
    <xf numFmtId="0" fontId="101" fillId="0" borderId="180" xfId="61" applyFont="1" applyBorder="1" applyAlignment="1" applyProtection="1">
      <alignment horizontal="center" vertical="center" shrinkToFit="1"/>
      <protection/>
    </xf>
    <xf numFmtId="0" fontId="39" fillId="0" borderId="127" xfId="61" applyFont="1" applyBorder="1" applyAlignment="1" applyProtection="1">
      <alignment horizontal="center" vertical="center" shrinkToFit="1"/>
      <protection/>
    </xf>
    <xf numFmtId="0" fontId="39" fillId="0" borderId="176" xfId="61" applyFont="1" applyBorder="1" applyAlignment="1" applyProtection="1">
      <alignment horizontal="center" vertical="center" shrinkToFit="1"/>
      <protection/>
    </xf>
    <xf numFmtId="0" fontId="111" fillId="0" borderId="140" xfId="61" applyFont="1" applyBorder="1" applyAlignment="1" applyProtection="1">
      <alignment horizontal="left" vertical="center" shrinkToFit="1"/>
      <protection locked="0"/>
    </xf>
    <xf numFmtId="0" fontId="101" fillId="0" borderId="56" xfId="61" applyFont="1" applyBorder="1" applyAlignment="1" applyProtection="1">
      <alignment horizontal="center" vertical="center" shrinkToFit="1"/>
      <protection/>
    </xf>
    <xf numFmtId="0" fontId="101" fillId="0" borderId="181" xfId="61" applyFont="1" applyBorder="1" applyAlignment="1" applyProtection="1">
      <alignment horizontal="center" vertical="center" shrinkToFit="1"/>
      <protection/>
    </xf>
    <xf numFmtId="0" fontId="99" fillId="0" borderId="14" xfId="61" applyFont="1" applyBorder="1" applyAlignment="1">
      <alignment horizontal="right" vertical="center"/>
      <protection/>
    </xf>
    <xf numFmtId="0" fontId="99" fillId="0" borderId="18" xfId="61" applyFont="1" applyBorder="1" applyAlignment="1">
      <alignment horizontal="right" vertical="center"/>
      <protection/>
    </xf>
    <xf numFmtId="0" fontId="99" fillId="0" borderId="182" xfId="61" applyFont="1" applyBorder="1" applyAlignment="1">
      <alignment horizontal="right" vertical="center"/>
      <protection/>
    </xf>
    <xf numFmtId="0" fontId="110" fillId="0" borderId="154" xfId="61" applyFont="1" applyBorder="1" applyAlignment="1">
      <alignment horizontal="center"/>
      <protection/>
    </xf>
    <xf numFmtId="0" fontId="134" fillId="50" borderId="48" xfId="61" applyFont="1" applyFill="1" applyBorder="1" applyAlignment="1">
      <alignment horizontal="center" vertical="center"/>
      <protection/>
    </xf>
    <xf numFmtId="0" fontId="134" fillId="50" borderId="0" xfId="61" applyFont="1" applyFill="1" applyBorder="1" applyAlignment="1">
      <alignment horizontal="center" vertical="center"/>
      <protection/>
    </xf>
    <xf numFmtId="0" fontId="134" fillId="50" borderId="49" xfId="61" applyFont="1" applyFill="1" applyBorder="1" applyAlignment="1">
      <alignment horizontal="center" vertical="center"/>
      <protection/>
    </xf>
    <xf numFmtId="0" fontId="134" fillId="50" borderId="90" xfId="61" applyFont="1" applyFill="1" applyBorder="1" applyAlignment="1">
      <alignment horizontal="center" vertical="center"/>
      <protection/>
    </xf>
    <xf numFmtId="0" fontId="134" fillId="50" borderId="84" xfId="61" applyFont="1" applyFill="1" applyBorder="1" applyAlignment="1">
      <alignment horizontal="center" vertical="center"/>
      <protection/>
    </xf>
    <xf numFmtId="0" fontId="134" fillId="50" borderId="93" xfId="61" applyFont="1" applyFill="1" applyBorder="1" applyAlignment="1">
      <alignment horizontal="center" vertical="center"/>
      <protection/>
    </xf>
    <xf numFmtId="0" fontId="100" fillId="0" borderId="153" xfId="61" applyFont="1" applyBorder="1" applyAlignment="1">
      <alignment horizontal="center" vertical="center"/>
      <protection/>
    </xf>
    <xf numFmtId="0" fontId="100" fillId="0" borderId="154" xfId="61" applyFont="1" applyBorder="1" applyAlignment="1">
      <alignment horizontal="center" vertical="center"/>
      <protection/>
    </xf>
    <xf numFmtId="0" fontId="100" fillId="0" borderId="155" xfId="61" applyFont="1" applyBorder="1" applyAlignment="1">
      <alignment horizontal="center" vertical="center"/>
      <protection/>
    </xf>
    <xf numFmtId="0" fontId="100" fillId="0" borderId="156" xfId="61" applyFont="1" applyBorder="1" applyAlignment="1">
      <alignment horizontal="center" vertical="center"/>
      <protection/>
    </xf>
    <xf numFmtId="0" fontId="100" fillId="0" borderId="157" xfId="61" applyFont="1" applyBorder="1" applyAlignment="1">
      <alignment horizontal="center" vertical="center"/>
      <protection/>
    </xf>
    <xf numFmtId="0" fontId="100" fillId="0" borderId="158" xfId="61" applyFont="1" applyBorder="1" applyAlignment="1">
      <alignment horizontal="center" vertical="center"/>
      <protection/>
    </xf>
    <xf numFmtId="0" fontId="100" fillId="0" borderId="159" xfId="61" applyFont="1" applyBorder="1" applyAlignment="1">
      <alignment horizontal="center" vertical="center"/>
      <protection/>
    </xf>
    <xf numFmtId="0" fontId="100" fillId="0" borderId="160" xfId="61" applyFont="1" applyBorder="1" applyAlignment="1">
      <alignment horizontal="center" vertical="center"/>
      <protection/>
    </xf>
    <xf numFmtId="0" fontId="101" fillId="0" borderId="10" xfId="61" applyFont="1" applyBorder="1" applyAlignment="1">
      <alignment horizontal="left" vertical="center" shrinkToFit="1"/>
      <protection/>
    </xf>
    <xf numFmtId="0" fontId="101" fillId="0" borderId="11" xfId="61" applyFont="1" applyBorder="1" applyAlignment="1">
      <alignment horizontal="left" vertical="center" shrinkToFit="1"/>
      <protection/>
    </xf>
    <xf numFmtId="0" fontId="101" fillId="0" borderId="183" xfId="61" applyFont="1" applyBorder="1" applyAlignment="1">
      <alignment horizontal="left" vertical="center" shrinkToFit="1"/>
      <protection/>
    </xf>
    <xf numFmtId="0" fontId="101" fillId="0" borderId="184" xfId="0" applyFont="1" applyBorder="1" applyAlignment="1">
      <alignment horizontal="left" vertical="center" shrinkToFit="1"/>
    </xf>
    <xf numFmtId="0" fontId="101" fillId="0" borderId="61" xfId="0" applyFont="1" applyBorder="1" applyAlignment="1">
      <alignment horizontal="left" vertical="center" shrinkToFit="1"/>
    </xf>
    <xf numFmtId="0" fontId="101" fillId="0" borderId="185" xfId="0" applyFont="1" applyBorder="1" applyAlignment="1">
      <alignment horizontal="left" vertical="center" shrinkToFit="1"/>
    </xf>
    <xf numFmtId="0" fontId="99" fillId="0" borderId="137" xfId="61" applyFont="1" applyBorder="1" applyAlignment="1">
      <alignment horizontal="center" vertical="center" shrinkToFit="1"/>
      <protection/>
    </xf>
    <xf numFmtId="0" fontId="99" fillId="0" borderId="140" xfId="61" applyFont="1" applyBorder="1" applyAlignment="1">
      <alignment horizontal="center" vertical="center" shrinkToFit="1"/>
      <protection/>
    </xf>
    <xf numFmtId="0" fontId="101" fillId="0" borderId="186" xfId="0" applyFont="1" applyBorder="1" applyAlignment="1">
      <alignment horizontal="center" vertical="center" shrinkToFit="1"/>
    </xf>
    <xf numFmtId="0" fontId="101" fillId="0" borderId="185" xfId="0" applyFont="1" applyBorder="1" applyAlignment="1">
      <alignment horizontal="center" vertical="center" shrinkToFit="1"/>
    </xf>
    <xf numFmtId="0" fontId="111" fillId="0" borderId="45" xfId="61" applyNumberFormat="1" applyFont="1" applyBorder="1" applyAlignment="1" applyProtection="1">
      <alignment horizontal="center" shrinkToFit="1"/>
      <protection/>
    </xf>
    <xf numFmtId="0" fontId="111" fillId="0" borderId="46" xfId="61" applyNumberFormat="1" applyFont="1" applyBorder="1" applyAlignment="1" applyProtection="1">
      <alignment horizontal="center" shrinkToFit="1"/>
      <protection/>
    </xf>
    <xf numFmtId="0" fontId="111" fillId="0" borderId="47" xfId="61" applyNumberFormat="1" applyFont="1" applyBorder="1" applyAlignment="1" applyProtection="1">
      <alignment horizontal="center" shrinkToFit="1"/>
      <protection/>
    </xf>
    <xf numFmtId="0" fontId="111" fillId="0" borderId="90" xfId="61" applyNumberFormat="1" applyFont="1" applyBorder="1" applyAlignment="1" applyProtection="1">
      <alignment horizontal="center" shrinkToFit="1"/>
      <protection/>
    </xf>
    <xf numFmtId="0" fontId="111" fillId="0" borderId="84" xfId="61" applyNumberFormat="1" applyFont="1" applyBorder="1" applyAlignment="1" applyProtection="1">
      <alignment horizontal="center" shrinkToFit="1"/>
      <protection/>
    </xf>
    <xf numFmtId="0" fontId="111" fillId="0" borderId="93" xfId="61" applyNumberFormat="1" applyFont="1" applyBorder="1" applyAlignment="1" applyProtection="1">
      <alignment horizontal="center" shrinkToFit="1"/>
      <protection/>
    </xf>
    <xf numFmtId="0" fontId="99" fillId="0" borderId="187" xfId="61" applyFont="1" applyBorder="1" applyAlignment="1" applyProtection="1">
      <alignment horizontal="center" vertical="center" shrinkToFit="1"/>
      <protection/>
    </xf>
    <xf numFmtId="0" fontId="99" fillId="0" borderId="178" xfId="61" applyFont="1" applyBorder="1" applyAlignment="1" applyProtection="1">
      <alignment horizontal="center" vertical="center" shrinkToFit="1"/>
      <protection/>
    </xf>
    <xf numFmtId="0" fontId="99" fillId="0" borderId="179" xfId="61" applyFont="1" applyBorder="1" applyAlignment="1" applyProtection="1">
      <alignment horizontal="center" vertical="center" shrinkToFit="1"/>
      <protection/>
    </xf>
    <xf numFmtId="0" fontId="17" fillId="0" borderId="0" xfId="61" applyFont="1" applyAlignment="1">
      <alignment horizontal="center" vertical="center"/>
      <protection/>
    </xf>
    <xf numFmtId="0" fontId="100" fillId="0" borderId="18" xfId="61" applyFont="1" applyBorder="1" applyAlignment="1" applyProtection="1">
      <alignment horizontal="left" vertical="center" shrinkToFit="1"/>
      <protection/>
    </xf>
    <xf numFmtId="0" fontId="100" fillId="0" borderId="77" xfId="61" applyFont="1" applyBorder="1" applyAlignment="1" applyProtection="1">
      <alignment horizontal="left" vertical="center" shrinkToFit="1"/>
      <protection/>
    </xf>
    <xf numFmtId="0" fontId="133" fillId="50" borderId="12" xfId="61" applyFont="1" applyFill="1" applyBorder="1" applyAlignment="1" applyProtection="1">
      <alignment horizontal="center" vertical="center"/>
      <protection/>
    </xf>
    <xf numFmtId="0" fontId="133" fillId="50" borderId="0" xfId="61" applyFont="1" applyFill="1" applyBorder="1" applyAlignment="1" applyProtection="1">
      <alignment horizontal="center" vertical="center"/>
      <protection/>
    </xf>
    <xf numFmtId="0" fontId="133" fillId="50" borderId="13" xfId="61" applyFont="1" applyFill="1" applyBorder="1" applyAlignment="1" applyProtection="1">
      <alignment horizontal="center" vertical="center"/>
      <protection/>
    </xf>
    <xf numFmtId="0" fontId="100" fillId="0" borderId="128" xfId="61" applyNumberFormat="1" applyFont="1" applyFill="1" applyBorder="1" applyAlignment="1" applyProtection="1">
      <alignment horizontal="center" vertical="center" shrinkToFit="1"/>
      <protection/>
    </xf>
    <xf numFmtId="0" fontId="100" fillId="0" borderId="129" xfId="61" applyNumberFormat="1" applyFont="1" applyFill="1" applyBorder="1" applyAlignment="1" applyProtection="1">
      <alignment horizontal="center" vertical="center" shrinkToFit="1"/>
      <protection/>
    </xf>
    <xf numFmtId="0" fontId="100" fillId="0" borderId="130" xfId="61" applyNumberFormat="1" applyFont="1" applyFill="1" applyBorder="1" applyAlignment="1" applyProtection="1">
      <alignment horizontal="center" vertical="center" shrinkToFit="1"/>
      <protection/>
    </xf>
    <xf numFmtId="0" fontId="100" fillId="0" borderId="131" xfId="61" applyNumberFormat="1" applyFont="1" applyFill="1" applyBorder="1" applyAlignment="1" applyProtection="1">
      <alignment horizontal="center" vertical="center" shrinkToFit="1"/>
      <protection/>
    </xf>
    <xf numFmtId="0" fontId="100" fillId="0" borderId="0" xfId="61" applyNumberFormat="1" applyFont="1" applyFill="1" applyBorder="1" applyAlignment="1" applyProtection="1">
      <alignment horizontal="center" vertical="center" shrinkToFit="1"/>
      <protection/>
    </xf>
    <xf numFmtId="0" fontId="100" fillId="0" borderId="132" xfId="61" applyNumberFormat="1" applyFont="1" applyFill="1" applyBorder="1" applyAlignment="1" applyProtection="1">
      <alignment horizontal="center" vertical="center" shrinkToFit="1"/>
      <protection/>
    </xf>
    <xf numFmtId="0" fontId="100" fillId="0" borderId="133" xfId="61" applyNumberFormat="1" applyFont="1" applyFill="1" applyBorder="1" applyAlignment="1" applyProtection="1">
      <alignment horizontal="center" vertical="center" shrinkToFit="1"/>
      <protection/>
    </xf>
    <xf numFmtId="0" fontId="100" fillId="0" borderId="134" xfId="61" applyNumberFormat="1" applyFont="1" applyFill="1" applyBorder="1" applyAlignment="1" applyProtection="1">
      <alignment horizontal="center" vertical="center" shrinkToFit="1"/>
      <protection/>
    </xf>
    <xf numFmtId="0" fontId="100" fillId="0" borderId="135" xfId="61" applyNumberFormat="1" applyFont="1" applyFill="1" applyBorder="1" applyAlignment="1" applyProtection="1">
      <alignment horizontal="center" vertical="center" shrinkToFit="1"/>
      <protection/>
    </xf>
    <xf numFmtId="0" fontId="111" fillId="0" borderId="143" xfId="61" applyFont="1" applyBorder="1" applyAlignment="1" applyProtection="1">
      <alignment horizontal="center" vertical="center"/>
      <protection/>
    </xf>
    <xf numFmtId="0" fontId="111" fillId="0" borderId="144" xfId="61" applyFont="1" applyBorder="1" applyAlignment="1" applyProtection="1">
      <alignment horizontal="center" vertical="center"/>
      <protection/>
    </xf>
    <xf numFmtId="9" fontId="111" fillId="0" borderId="143" xfId="42" applyNumberFormat="1" applyFont="1" applyFill="1" applyBorder="1" applyAlignment="1" applyProtection="1">
      <alignment horizontal="center" vertical="center"/>
      <protection/>
    </xf>
    <xf numFmtId="9" fontId="111" fillId="0" borderId="144" xfId="42" applyNumberFormat="1" applyFont="1" applyFill="1" applyBorder="1" applyAlignment="1" applyProtection="1">
      <alignment horizontal="center" vertical="center"/>
      <protection/>
    </xf>
    <xf numFmtId="197" fontId="111" fillId="0" borderId="143" xfId="61" applyNumberFormat="1" applyFont="1" applyBorder="1" applyAlignment="1">
      <alignment horizontal="center" vertical="center"/>
      <protection/>
    </xf>
    <xf numFmtId="197" fontId="111" fillId="0" borderId="144" xfId="61" applyNumberFormat="1" applyFont="1" applyBorder="1" applyAlignment="1">
      <alignment horizontal="center" vertical="center"/>
      <protection/>
    </xf>
    <xf numFmtId="0" fontId="111" fillId="41" borderId="168" xfId="61" applyFont="1" applyFill="1" applyBorder="1" applyAlignment="1" applyProtection="1">
      <alignment horizontal="center" vertical="center"/>
      <protection/>
    </xf>
    <xf numFmtId="0" fontId="111" fillId="41" borderId="169" xfId="61" applyFont="1" applyFill="1" applyBorder="1" applyAlignment="1" applyProtection="1">
      <alignment horizontal="center" vertical="center"/>
      <protection/>
    </xf>
    <xf numFmtId="0" fontId="111" fillId="41" borderId="170" xfId="61" applyFont="1" applyFill="1" applyBorder="1" applyAlignment="1" applyProtection="1">
      <alignment horizontal="center" vertical="center"/>
      <protection/>
    </xf>
    <xf numFmtId="0" fontId="111" fillId="41" borderId="171" xfId="61" applyFont="1" applyFill="1" applyBorder="1" applyAlignment="1" applyProtection="1">
      <alignment horizontal="center" vertical="center"/>
      <protection/>
    </xf>
    <xf numFmtId="0" fontId="111" fillId="41" borderId="172" xfId="61" applyFont="1" applyFill="1" applyBorder="1" applyAlignment="1" applyProtection="1">
      <alignment horizontal="center" vertical="center"/>
      <protection/>
    </xf>
    <xf numFmtId="0" fontId="111" fillId="41" borderId="173" xfId="61" applyFont="1" applyFill="1" applyBorder="1" applyAlignment="1" applyProtection="1">
      <alignment horizontal="center" vertical="center"/>
      <protection/>
    </xf>
    <xf numFmtId="0" fontId="121" fillId="0" borderId="168" xfId="61" applyFont="1" applyFill="1" applyBorder="1" applyAlignment="1" applyProtection="1">
      <alignment horizontal="center" vertical="center" shrinkToFit="1"/>
      <protection locked="0"/>
    </xf>
    <xf numFmtId="0" fontId="121" fillId="0" borderId="169" xfId="61" applyFont="1" applyFill="1" applyBorder="1" applyAlignment="1" applyProtection="1">
      <alignment horizontal="center" vertical="center" shrinkToFit="1"/>
      <protection locked="0"/>
    </xf>
    <xf numFmtId="0" fontId="121" fillId="0" borderId="170" xfId="61" applyFont="1" applyFill="1" applyBorder="1" applyAlignment="1" applyProtection="1">
      <alignment horizontal="center" vertical="center" shrinkToFit="1"/>
      <protection locked="0"/>
    </xf>
    <xf numFmtId="0" fontId="121" fillId="0" borderId="171" xfId="61" applyFont="1" applyFill="1" applyBorder="1" applyAlignment="1" applyProtection="1">
      <alignment horizontal="center" vertical="center" shrinkToFit="1"/>
      <protection locked="0"/>
    </xf>
    <xf numFmtId="0" fontId="121" fillId="0" borderId="172" xfId="61" applyFont="1" applyFill="1" applyBorder="1" applyAlignment="1" applyProtection="1">
      <alignment horizontal="center" vertical="center" shrinkToFit="1"/>
      <protection locked="0"/>
    </xf>
    <xf numFmtId="0" fontId="121" fillId="0" borderId="173" xfId="61" applyFont="1" applyFill="1" applyBorder="1" applyAlignment="1" applyProtection="1">
      <alignment horizontal="center" vertical="center" shrinkToFit="1"/>
      <protection locked="0"/>
    </xf>
    <xf numFmtId="0" fontId="109" fillId="0" borderId="45" xfId="61" applyFont="1" applyFill="1" applyBorder="1" applyAlignment="1">
      <alignment horizontal="center"/>
      <protection/>
    </xf>
    <xf numFmtId="0" fontId="109" fillId="0" borderId="46" xfId="61" applyFont="1" applyFill="1" applyBorder="1" applyAlignment="1">
      <alignment horizontal="center"/>
      <protection/>
    </xf>
    <xf numFmtId="0" fontId="109" fillId="0" borderId="47" xfId="61" applyFont="1" applyFill="1" applyBorder="1" applyAlignment="1">
      <alignment horizontal="center"/>
      <protection/>
    </xf>
    <xf numFmtId="0" fontId="109" fillId="0" borderId="90" xfId="61" applyFont="1" applyFill="1" applyBorder="1" applyAlignment="1">
      <alignment horizontal="center"/>
      <protection/>
    </xf>
    <xf numFmtId="0" fontId="109" fillId="0" borderId="84" xfId="61" applyFont="1" applyFill="1" applyBorder="1" applyAlignment="1">
      <alignment horizontal="center"/>
      <protection/>
    </xf>
    <xf numFmtId="0" fontId="109" fillId="0" borderId="93" xfId="61" applyFont="1" applyFill="1" applyBorder="1" applyAlignment="1">
      <alignment horizontal="center"/>
      <protection/>
    </xf>
    <xf numFmtId="0" fontId="132" fillId="50" borderId="0" xfId="61" applyFont="1" applyFill="1" applyAlignment="1" applyProtection="1">
      <alignment horizontal="center" vertical="center" wrapText="1" shrinkToFit="1"/>
      <protection/>
    </xf>
    <xf numFmtId="0" fontId="111" fillId="0" borderId="0" xfId="0" applyFont="1" applyAlignment="1">
      <alignment vertical="center" wrapText="1"/>
    </xf>
    <xf numFmtId="0" fontId="100" fillId="0" borderId="14" xfId="61" applyFont="1" applyBorder="1" applyAlignment="1" applyProtection="1">
      <alignment horizontal="center" vertical="center" shrinkToFit="1"/>
      <protection locked="0"/>
    </xf>
    <xf numFmtId="0" fontId="101" fillId="0" borderId="18" xfId="0" applyFont="1" applyBorder="1" applyAlignment="1">
      <alignment horizontal="center" shrinkToFit="1"/>
    </xf>
    <xf numFmtId="196" fontId="115" fillId="0" borderId="45" xfId="61" applyNumberFormat="1" applyFont="1" applyBorder="1" applyAlignment="1">
      <alignment horizontal="center" vertical="center"/>
      <protection/>
    </xf>
    <xf numFmtId="0" fontId="115" fillId="0" borderId="46" xfId="61" applyFont="1" applyBorder="1" applyAlignment="1">
      <alignment horizontal="center" vertical="center"/>
      <protection/>
    </xf>
    <xf numFmtId="0" fontId="30" fillId="0" borderId="46" xfId="0" applyFont="1" applyBorder="1" applyAlignment="1">
      <alignment vertical="center"/>
    </xf>
    <xf numFmtId="0" fontId="30" fillId="0" borderId="47" xfId="0" applyFont="1" applyBorder="1" applyAlignment="1">
      <alignment vertical="center"/>
    </xf>
    <xf numFmtId="0" fontId="115" fillId="0" borderId="48" xfId="61" applyFont="1" applyBorder="1" applyAlignment="1">
      <alignment horizontal="center" vertical="center"/>
      <protection/>
    </xf>
    <xf numFmtId="0" fontId="115" fillId="0" borderId="0" xfId="61" applyFont="1" applyBorder="1" applyAlignment="1">
      <alignment horizontal="center" vertical="center"/>
      <protection/>
    </xf>
    <xf numFmtId="0" fontId="30" fillId="0" borderId="0" xfId="0" applyFont="1" applyBorder="1" applyAlignment="1">
      <alignment vertical="center"/>
    </xf>
    <xf numFmtId="0" fontId="30" fillId="0" borderId="49" xfId="0" applyFont="1" applyBorder="1" applyAlignment="1">
      <alignment vertical="center"/>
    </xf>
    <xf numFmtId="0" fontId="115" fillId="0" borderId="90" xfId="61" applyFont="1" applyBorder="1" applyAlignment="1">
      <alignment horizontal="center" vertical="center"/>
      <protection/>
    </xf>
    <xf numFmtId="0" fontId="115" fillId="0" borderId="84" xfId="61" applyFont="1" applyBorder="1" applyAlignment="1">
      <alignment horizontal="center" vertical="center"/>
      <protection/>
    </xf>
    <xf numFmtId="0" fontId="30" fillId="0" borderId="84" xfId="0" applyFont="1" applyBorder="1" applyAlignment="1">
      <alignment vertical="center"/>
    </xf>
    <xf numFmtId="0" fontId="30" fillId="0" borderId="93" xfId="0" applyFont="1" applyBorder="1" applyAlignment="1">
      <alignment vertical="center"/>
    </xf>
    <xf numFmtId="0" fontId="110" fillId="0" borderId="84" xfId="61" applyFont="1" applyBorder="1" applyAlignment="1" applyProtection="1">
      <alignment horizontal="center" vertical="center" shrinkToFit="1"/>
      <protection/>
    </xf>
    <xf numFmtId="0" fontId="119" fillId="0" borderId="50" xfId="61" applyFont="1" applyBorder="1" applyAlignment="1" applyProtection="1">
      <alignment horizontal="center"/>
      <protection/>
    </xf>
    <xf numFmtId="0" fontId="108" fillId="0" borderId="50" xfId="61" applyFont="1" applyBorder="1" applyAlignment="1" applyProtection="1">
      <alignment horizontal="center"/>
      <protection/>
    </xf>
    <xf numFmtId="0" fontId="133" fillId="50" borderId="90" xfId="61" applyFont="1" applyFill="1" applyBorder="1" applyAlignment="1">
      <alignment horizontal="center" vertical="center"/>
      <protection/>
    </xf>
    <xf numFmtId="0" fontId="133" fillId="50" borderId="84" xfId="61" applyFont="1" applyFill="1" applyBorder="1" applyAlignment="1">
      <alignment horizontal="center" vertical="center"/>
      <protection/>
    </xf>
    <xf numFmtId="0" fontId="133" fillId="50" borderId="93" xfId="61" applyFont="1" applyFill="1" applyBorder="1" applyAlignment="1">
      <alignment horizontal="center" vertical="center"/>
      <protection/>
    </xf>
    <xf numFmtId="0" fontId="99" fillId="0" borderId="54" xfId="61" applyFont="1" applyBorder="1" applyAlignment="1" applyProtection="1">
      <alignment horizontal="left" vertical="center" shrinkToFit="1"/>
      <protection/>
    </xf>
    <xf numFmtId="0" fontId="99" fillId="0" borderId="56" xfId="61" applyFont="1" applyBorder="1" applyAlignment="1" applyProtection="1">
      <alignment horizontal="left" vertical="center" shrinkToFit="1"/>
      <protection/>
    </xf>
    <xf numFmtId="211" fontId="99" fillId="0" borderId="188" xfId="61" applyNumberFormat="1" applyFont="1" applyBorder="1" applyAlignment="1" applyProtection="1">
      <alignment horizontal="center" vertical="center" shrinkToFit="1"/>
      <protection/>
    </xf>
    <xf numFmtId="211" fontId="99" fillId="0" borderId="18" xfId="61" applyNumberFormat="1" applyFont="1" applyBorder="1" applyAlignment="1" applyProtection="1">
      <alignment horizontal="center" vertical="center" shrinkToFit="1"/>
      <protection/>
    </xf>
    <xf numFmtId="211" fontId="99" fillId="0" borderId="77" xfId="61" applyNumberFormat="1" applyFont="1" applyBorder="1" applyAlignment="1" applyProtection="1">
      <alignment horizontal="center" vertical="center" shrinkToFit="1"/>
      <protection/>
    </xf>
    <xf numFmtId="0" fontId="109" fillId="0" borderId="45" xfId="61" applyFont="1" applyBorder="1" applyAlignment="1" applyProtection="1">
      <alignment horizontal="right"/>
      <protection/>
    </xf>
    <xf numFmtId="0" fontId="109" fillId="0" borderId="46" xfId="61" applyFont="1" applyBorder="1" applyAlignment="1" applyProtection="1">
      <alignment horizontal="right"/>
      <protection/>
    </xf>
    <xf numFmtId="0" fontId="109" fillId="0" borderId="47" xfId="61" applyFont="1" applyBorder="1" applyAlignment="1" applyProtection="1">
      <alignment horizontal="right"/>
      <protection/>
    </xf>
    <xf numFmtId="0" fontId="109" fillId="0" borderId="48" xfId="61" applyFont="1" applyBorder="1" applyAlignment="1" applyProtection="1">
      <alignment horizontal="right"/>
      <protection/>
    </xf>
    <xf numFmtId="0" fontId="109" fillId="0" borderId="0" xfId="61" applyFont="1" applyBorder="1" applyAlignment="1" applyProtection="1">
      <alignment horizontal="right"/>
      <protection/>
    </xf>
    <xf numFmtId="0" fontId="109" fillId="0" borderId="49" xfId="61" applyFont="1" applyBorder="1" applyAlignment="1" applyProtection="1">
      <alignment horizontal="right"/>
      <protection/>
    </xf>
    <xf numFmtId="0" fontId="0" fillId="0" borderId="48" xfId="0" applyBorder="1" applyAlignment="1">
      <alignment horizontal="right"/>
    </xf>
    <xf numFmtId="0" fontId="0" fillId="0" borderId="0" xfId="0" applyAlignment="1">
      <alignment horizontal="right"/>
    </xf>
    <xf numFmtId="0" fontId="0" fillId="0" borderId="49" xfId="0" applyBorder="1" applyAlignment="1">
      <alignment horizontal="right"/>
    </xf>
    <xf numFmtId="0" fontId="0" fillId="0" borderId="189" xfId="0" applyBorder="1" applyAlignment="1">
      <alignment horizontal="right"/>
    </xf>
    <xf numFmtId="0" fontId="0" fillId="0" borderId="61" xfId="0" applyBorder="1" applyAlignment="1">
      <alignment horizontal="right"/>
    </xf>
    <xf numFmtId="0" fontId="0" fillId="0" borderId="190" xfId="0" applyBorder="1" applyAlignment="1">
      <alignment horizontal="right"/>
    </xf>
    <xf numFmtId="0" fontId="101" fillId="0" borderId="128" xfId="61" applyFont="1" applyBorder="1" applyAlignment="1">
      <alignment horizontal="right" vertical="center"/>
      <protection/>
    </xf>
    <xf numFmtId="0" fontId="101" fillId="0" borderId="129" xfId="61" applyFont="1" applyBorder="1" applyAlignment="1">
      <alignment horizontal="right" vertical="center"/>
      <protection/>
    </xf>
    <xf numFmtId="0" fontId="101" fillId="0" borderId="133" xfId="61" applyFont="1" applyBorder="1" applyAlignment="1">
      <alignment horizontal="right" vertical="center"/>
      <protection/>
    </xf>
    <xf numFmtId="0" fontId="101" fillId="0" borderId="134" xfId="61" applyFont="1" applyBorder="1" applyAlignment="1">
      <alignment horizontal="right" vertical="center"/>
      <protection/>
    </xf>
    <xf numFmtId="212" fontId="101" fillId="0" borderId="129" xfId="61" applyNumberFormat="1" applyFont="1" applyBorder="1" applyAlignment="1">
      <alignment horizontal="center" vertical="center" shrinkToFit="1"/>
      <protection/>
    </xf>
    <xf numFmtId="212" fontId="101" fillId="0" borderId="130" xfId="61" applyNumberFormat="1" applyFont="1" applyBorder="1" applyAlignment="1">
      <alignment horizontal="center" vertical="center" shrinkToFit="1"/>
      <protection/>
    </xf>
    <xf numFmtId="212" fontId="101" fillId="0" borderId="134" xfId="61" applyNumberFormat="1" applyFont="1" applyBorder="1" applyAlignment="1">
      <alignment horizontal="center" vertical="center" shrinkToFit="1"/>
      <protection/>
    </xf>
    <xf numFmtId="212" fontId="101" fillId="0" borderId="135" xfId="61" applyNumberFormat="1" applyFont="1" applyBorder="1" applyAlignment="1">
      <alignment horizontal="center" vertical="center" shrinkToFit="1"/>
      <protection/>
    </xf>
    <xf numFmtId="0" fontId="99" fillId="0" borderId="177" xfId="61" applyFont="1" applyBorder="1" applyAlignment="1" applyProtection="1">
      <alignment horizontal="left" vertical="center" shrinkToFit="1"/>
      <protection/>
    </xf>
    <xf numFmtId="0" fontId="101" fillId="0" borderId="178" xfId="0" applyFont="1" applyBorder="1" applyAlignment="1">
      <alignment horizontal="left" vertical="center" shrinkToFit="1"/>
    </xf>
    <xf numFmtId="0" fontId="101" fillId="0" borderId="55" xfId="0" applyFont="1" applyBorder="1" applyAlignment="1">
      <alignment horizontal="left" vertical="center" shrinkToFit="1"/>
    </xf>
    <xf numFmtId="0" fontId="108" fillId="0" borderId="0" xfId="61" applyFont="1" applyAlignment="1" applyProtection="1">
      <alignment horizontal="center" wrapText="1"/>
      <protection/>
    </xf>
    <xf numFmtId="0" fontId="108" fillId="0" borderId="84" xfId="61" applyFont="1" applyBorder="1" applyAlignment="1" applyProtection="1">
      <alignment horizontal="center" wrapText="1"/>
      <protection/>
    </xf>
    <xf numFmtId="0" fontId="39" fillId="0" borderId="191" xfId="61" applyFont="1" applyBorder="1" applyAlignment="1" applyProtection="1">
      <alignment horizontal="center" vertical="center"/>
      <protection/>
    </xf>
    <xf numFmtId="0" fontId="39" fillId="0" borderId="192" xfId="61" applyFont="1" applyBorder="1" applyAlignment="1" applyProtection="1">
      <alignment horizontal="center" vertical="center"/>
      <protection/>
    </xf>
    <xf numFmtId="0" fontId="39" fillId="0" borderId="15" xfId="61" applyFont="1" applyBorder="1" applyAlignment="1" applyProtection="1">
      <alignment horizontal="center" vertical="center"/>
      <protection/>
    </xf>
    <xf numFmtId="0" fontId="39" fillId="0" borderId="16" xfId="61" applyFont="1" applyBorder="1" applyAlignment="1" applyProtection="1">
      <alignment horizontal="center" vertical="center"/>
      <protection/>
    </xf>
    <xf numFmtId="3" fontId="111" fillId="0" borderId="192" xfId="61" applyNumberFormat="1" applyFont="1" applyBorder="1" applyAlignment="1" applyProtection="1">
      <alignment horizontal="right" vertical="center"/>
      <protection/>
    </xf>
    <xf numFmtId="3" fontId="111" fillId="0" borderId="193" xfId="61" applyNumberFormat="1" applyFont="1" applyBorder="1" applyAlignment="1" applyProtection="1">
      <alignment horizontal="right" vertical="center"/>
      <protection/>
    </xf>
    <xf numFmtId="3" fontId="111" fillId="0" borderId="16" xfId="61" applyNumberFormat="1" applyFont="1" applyBorder="1" applyAlignment="1" applyProtection="1">
      <alignment horizontal="right" vertical="center"/>
      <protection/>
    </xf>
    <xf numFmtId="3" fontId="111" fillId="0" borderId="17" xfId="61" applyNumberFormat="1" applyFont="1" applyBorder="1" applyAlignment="1" applyProtection="1">
      <alignment horizontal="right" vertical="center"/>
      <protection/>
    </xf>
    <xf numFmtId="3" fontId="111" fillId="0" borderId="11" xfId="61" applyNumberFormat="1" applyFont="1" applyBorder="1" applyAlignment="1" applyProtection="1">
      <alignment horizontal="right" vertical="center"/>
      <protection/>
    </xf>
    <xf numFmtId="3" fontId="111" fillId="0" borderId="19" xfId="61" applyNumberFormat="1" applyFont="1" applyBorder="1" applyAlignment="1" applyProtection="1">
      <alignment horizontal="right" vertical="center"/>
      <protection/>
    </xf>
    <xf numFmtId="3" fontId="111" fillId="0" borderId="194" xfId="61" applyNumberFormat="1" applyFont="1" applyBorder="1" applyAlignment="1" applyProtection="1">
      <alignment horizontal="right" vertical="center"/>
      <protection/>
    </xf>
    <xf numFmtId="3" fontId="111" fillId="0" borderId="195" xfId="61" applyNumberFormat="1" applyFont="1" applyBorder="1" applyAlignment="1" applyProtection="1">
      <alignment horizontal="right" vertical="center"/>
      <protection/>
    </xf>
    <xf numFmtId="0" fontId="119" fillId="0" borderId="84" xfId="61" applyFont="1" applyBorder="1" applyAlignment="1" applyProtection="1">
      <alignment horizontal="center"/>
      <protection/>
    </xf>
    <xf numFmtId="0" fontId="135" fillId="0" borderId="0" xfId="0" applyFont="1" applyAlignment="1">
      <alignment horizontal="center" vertical="center"/>
    </xf>
    <xf numFmtId="0" fontId="123" fillId="0" borderId="10" xfId="61" applyFont="1" applyFill="1" applyBorder="1" applyAlignment="1">
      <alignment horizontal="center" vertical="center" shrinkToFit="1"/>
      <protection/>
    </xf>
    <xf numFmtId="0" fontId="101" fillId="0" borderId="11" xfId="0" applyFont="1" applyBorder="1" applyAlignment="1">
      <alignment vertical="center"/>
    </xf>
    <xf numFmtId="0" fontId="101" fillId="0" borderId="19" xfId="0" applyFont="1" applyBorder="1" applyAlignment="1">
      <alignment vertical="center"/>
    </xf>
    <xf numFmtId="0" fontId="101" fillId="0" borderId="12" xfId="0" applyFont="1" applyBorder="1" applyAlignment="1">
      <alignment vertical="center"/>
    </xf>
    <xf numFmtId="0" fontId="101" fillId="0" borderId="0" xfId="0" applyFont="1" applyBorder="1" applyAlignment="1">
      <alignment vertical="center"/>
    </xf>
    <xf numFmtId="0" fontId="101" fillId="0" borderId="13" xfId="0" applyFont="1" applyBorder="1" applyAlignment="1">
      <alignment vertical="center"/>
    </xf>
    <xf numFmtId="0" fontId="101" fillId="0" borderId="15" xfId="0" applyFont="1" applyBorder="1" applyAlignment="1">
      <alignment vertical="center"/>
    </xf>
    <xf numFmtId="0" fontId="101" fillId="0" borderId="16" xfId="0" applyFont="1" applyBorder="1" applyAlignment="1">
      <alignment vertical="center"/>
    </xf>
    <xf numFmtId="0" fontId="101" fillId="0" borderId="17" xfId="0" applyFont="1" applyBorder="1" applyAlignment="1">
      <alignment vertical="center"/>
    </xf>
    <xf numFmtId="0" fontId="108" fillId="0" borderId="0" xfId="61" applyFont="1" applyBorder="1" applyAlignment="1" applyProtection="1">
      <alignment horizontal="center"/>
      <protection/>
    </xf>
    <xf numFmtId="0" fontId="125" fillId="0" borderId="0" xfId="61" applyFont="1" applyBorder="1" applyAlignment="1">
      <alignment horizontal="center" vertical="center" shrinkToFit="1"/>
      <protection/>
    </xf>
    <xf numFmtId="0" fontId="39" fillId="0" borderId="0" xfId="61" applyFont="1" applyAlignment="1">
      <alignment horizontal="center"/>
      <protection/>
    </xf>
    <xf numFmtId="0" fontId="39" fillId="0" borderId="84" xfId="61" applyFont="1" applyBorder="1" applyAlignment="1">
      <alignment horizontal="center"/>
      <protection/>
    </xf>
    <xf numFmtId="0" fontId="101" fillId="0" borderId="196" xfId="61" applyFont="1" applyBorder="1" applyAlignment="1">
      <alignment horizontal="center" vertical="center"/>
      <protection/>
    </xf>
    <xf numFmtId="0" fontId="101" fillId="0" borderId="197" xfId="61" applyFont="1" applyBorder="1" applyAlignment="1">
      <alignment horizontal="center" vertical="center"/>
      <protection/>
    </xf>
    <xf numFmtId="0" fontId="101" fillId="0" borderId="127" xfId="61" applyFont="1" applyBorder="1" applyAlignment="1">
      <alignment horizontal="center" vertical="center" shrinkToFit="1"/>
      <protection/>
    </xf>
    <xf numFmtId="0" fontId="101" fillId="0" borderId="198" xfId="61" applyFont="1" applyBorder="1" applyAlignment="1">
      <alignment horizontal="center" vertical="center" shrinkToFit="1"/>
      <protection/>
    </xf>
    <xf numFmtId="0" fontId="101" fillId="0" borderId="126" xfId="61" applyFont="1" applyBorder="1" applyAlignment="1">
      <alignment horizontal="center" vertical="center" shrinkToFit="1"/>
      <protection/>
    </xf>
    <xf numFmtId="0" fontId="100" fillId="0" borderId="16" xfId="61" applyFont="1" applyBorder="1" applyAlignment="1" applyProtection="1">
      <alignment horizontal="left" vertical="center" shrinkToFit="1"/>
      <protection/>
    </xf>
    <xf numFmtId="0" fontId="100" fillId="0" borderId="17" xfId="61" applyFont="1" applyBorder="1" applyAlignment="1" applyProtection="1">
      <alignment horizontal="left" vertical="center" shrinkToFit="1"/>
      <protection/>
    </xf>
    <xf numFmtId="0" fontId="119" fillId="0" borderId="199" xfId="61" applyFont="1" applyBorder="1" applyAlignment="1" applyProtection="1">
      <alignment horizontal="center" vertical="center" wrapText="1" shrinkToFit="1"/>
      <protection/>
    </xf>
    <xf numFmtId="0" fontId="119" fillId="0" borderId="183" xfId="61" applyFont="1" applyBorder="1" applyAlignment="1" applyProtection="1">
      <alignment horizontal="center" vertical="center" wrapText="1" shrinkToFit="1"/>
      <protection/>
    </xf>
    <xf numFmtId="0" fontId="109" fillId="0" borderId="15" xfId="61" applyFont="1" applyBorder="1" applyAlignment="1" applyProtection="1">
      <alignment horizontal="center" vertical="center"/>
      <protection locked="0"/>
    </xf>
    <xf numFmtId="0" fontId="109" fillId="0" borderId="16" xfId="61" applyFont="1" applyBorder="1" applyAlignment="1" applyProtection="1">
      <alignment horizontal="center" vertical="center"/>
      <protection locked="0"/>
    </xf>
    <xf numFmtId="0" fontId="101" fillId="0" borderId="200" xfId="61" applyFont="1" applyBorder="1" applyAlignment="1" applyProtection="1">
      <alignment horizontal="center" vertical="center" shrinkToFit="1"/>
      <protection/>
    </xf>
    <xf numFmtId="0" fontId="39" fillId="0" borderId="0" xfId="61" applyFont="1" applyBorder="1" applyAlignment="1" applyProtection="1">
      <alignment horizontal="center" vertical="center" shrinkToFit="1"/>
      <protection/>
    </xf>
    <xf numFmtId="0" fontId="39" fillId="0" borderId="13" xfId="61" applyFont="1" applyBorder="1" applyAlignment="1" applyProtection="1">
      <alignment horizontal="center" vertical="center" shrinkToFit="1"/>
      <protection/>
    </xf>
    <xf numFmtId="0" fontId="99" fillId="0" borderId="139" xfId="61" applyFont="1" applyBorder="1" applyAlignment="1" applyProtection="1">
      <alignment horizontal="left" vertical="center" shrinkToFit="1"/>
      <protection/>
    </xf>
    <xf numFmtId="0" fontId="101" fillId="0" borderId="66" xfId="0" applyFont="1" applyBorder="1" applyAlignment="1">
      <alignment horizontal="left" vertical="center" shrinkToFit="1"/>
    </xf>
    <xf numFmtId="0" fontId="101" fillId="0" borderId="140" xfId="0" applyFont="1" applyBorder="1" applyAlignment="1">
      <alignment horizontal="left" vertical="center" shrinkToFit="1"/>
    </xf>
    <xf numFmtId="0" fontId="119" fillId="0" borderId="201" xfId="61" applyFont="1" applyBorder="1" applyAlignment="1" applyProtection="1">
      <alignment horizontal="center" vertical="center" wrapText="1" shrinkToFit="1"/>
      <protection/>
    </xf>
    <xf numFmtId="0" fontId="99" fillId="0" borderId="200" xfId="61" applyFont="1" applyBorder="1" applyAlignment="1" applyProtection="1">
      <alignment horizontal="left" vertical="center" shrinkToFit="1"/>
      <protection/>
    </xf>
    <xf numFmtId="0" fontId="99" fillId="0" borderId="202" xfId="61" applyFont="1" applyBorder="1" applyAlignment="1" applyProtection="1">
      <alignment horizontal="left" vertical="center" shrinkToFit="1"/>
      <protection/>
    </xf>
    <xf numFmtId="0" fontId="121" fillId="0" borderId="12" xfId="61" applyFont="1" applyBorder="1" applyAlignment="1" applyProtection="1">
      <alignment horizontal="left" vertical="center" shrinkToFit="1"/>
      <protection/>
    </xf>
    <xf numFmtId="0" fontId="121" fillId="0" borderId="0" xfId="61" applyFont="1" applyBorder="1" applyAlignment="1" applyProtection="1">
      <alignment horizontal="left" vertical="center" shrinkToFit="1"/>
      <protection/>
    </xf>
    <xf numFmtId="0" fontId="111" fillId="0" borderId="12" xfId="61" applyFont="1" applyBorder="1" applyAlignment="1" applyProtection="1">
      <alignment horizontal="left" vertical="center" shrinkToFit="1"/>
      <protection locked="0"/>
    </xf>
    <xf numFmtId="0" fontId="111" fillId="0" borderId="0" xfId="61" applyFont="1" applyBorder="1" applyAlignment="1" applyProtection="1">
      <alignment horizontal="left" vertical="center" shrinkToFit="1"/>
      <protection locked="0"/>
    </xf>
    <xf numFmtId="0" fontId="111" fillId="0" borderId="202" xfId="61" applyFont="1" applyBorder="1" applyAlignment="1" applyProtection="1">
      <alignment horizontal="left" vertical="center" shrinkToFit="1"/>
      <protection locked="0"/>
    </xf>
    <xf numFmtId="0" fontId="101" fillId="0" borderId="127" xfId="61" applyFont="1" applyBorder="1" applyAlignment="1" applyProtection="1">
      <alignment horizontal="center" vertical="center" shrinkToFit="1"/>
      <protection/>
    </xf>
    <xf numFmtId="0" fontId="101" fillId="0" borderId="176" xfId="61" applyFont="1" applyBorder="1" applyAlignment="1" applyProtection="1">
      <alignment horizontal="center" vertical="center" shrinkToFit="1"/>
      <protection/>
    </xf>
    <xf numFmtId="0" fontId="121" fillId="0" borderId="10" xfId="61" applyFont="1" applyBorder="1" applyAlignment="1">
      <alignment horizontal="left" vertical="center"/>
      <protection/>
    </xf>
    <xf numFmtId="0" fontId="121" fillId="0" borderId="11" xfId="61" applyFont="1" applyBorder="1" applyAlignment="1">
      <alignment horizontal="left" vertical="center"/>
      <protection/>
    </xf>
    <xf numFmtId="0" fontId="121" fillId="0" borderId="183" xfId="61" applyFont="1" applyBorder="1" applyAlignment="1">
      <alignment horizontal="left" vertical="center"/>
      <protection/>
    </xf>
    <xf numFmtId="0" fontId="119" fillId="0" borderId="196" xfId="61" applyFont="1" applyBorder="1" applyAlignment="1" applyProtection="1">
      <alignment horizontal="center" vertical="center" wrapText="1" shrinkToFit="1"/>
      <protection/>
    </xf>
    <xf numFmtId="0" fontId="119" fillId="0" borderId="203" xfId="61" applyFont="1" applyBorder="1" applyAlignment="1" applyProtection="1">
      <alignment horizontal="center" vertical="center" wrapText="1" shrinkToFit="1"/>
      <protection/>
    </xf>
    <xf numFmtId="0" fontId="99" fillId="0" borderId="67" xfId="61" applyFont="1" applyBorder="1" applyAlignment="1" applyProtection="1">
      <alignment horizontal="left" vertical="center" shrinkToFit="1"/>
      <protection/>
    </xf>
    <xf numFmtId="0" fontId="99" fillId="0" borderId="52" xfId="61" applyFont="1" applyBorder="1" applyAlignment="1" applyProtection="1">
      <alignment horizontal="left" vertical="center" shrinkToFit="1"/>
      <protection/>
    </xf>
    <xf numFmtId="0" fontId="121" fillId="0" borderId="126" xfId="61" applyFont="1" applyBorder="1" applyAlignment="1" applyProtection="1">
      <alignment horizontal="left" vertical="center" shrinkToFit="1"/>
      <protection/>
    </xf>
    <xf numFmtId="0" fontId="121" fillId="0" borderId="127" xfId="61" applyFont="1" applyBorder="1" applyAlignment="1" applyProtection="1">
      <alignment horizontal="left" vertical="center" shrinkToFit="1"/>
      <protection/>
    </xf>
    <xf numFmtId="0" fontId="0" fillId="0" borderId="127" xfId="0" applyBorder="1" applyAlignment="1">
      <alignment vertical="center" shrinkToFit="1"/>
    </xf>
    <xf numFmtId="0" fontId="0" fillId="0" borderId="198" xfId="0" applyBorder="1" applyAlignment="1">
      <alignment vertical="center" shrinkToFit="1"/>
    </xf>
    <xf numFmtId="212" fontId="101" fillId="0" borderId="10" xfId="61" applyNumberFormat="1" applyFont="1" applyBorder="1" applyAlignment="1" applyProtection="1">
      <alignment horizontal="right" vertical="center"/>
      <protection/>
    </xf>
    <xf numFmtId="212" fontId="101" fillId="0" borderId="11" xfId="61" applyNumberFormat="1" applyFont="1" applyBorder="1" applyAlignment="1" applyProtection="1">
      <alignment horizontal="right" vertical="center"/>
      <protection/>
    </xf>
    <xf numFmtId="212" fontId="101" fillId="0" borderId="19" xfId="61" applyNumberFormat="1" applyFont="1" applyBorder="1" applyAlignment="1" applyProtection="1">
      <alignment horizontal="right" vertical="center"/>
      <protection/>
    </xf>
    <xf numFmtId="212" fontId="101" fillId="0" borderId="15" xfId="61" applyNumberFormat="1" applyFont="1" applyBorder="1" applyAlignment="1" applyProtection="1">
      <alignment horizontal="right" vertical="center"/>
      <protection/>
    </xf>
    <xf numFmtId="212" fontId="101" fillId="0" borderId="16" xfId="61" applyNumberFormat="1" applyFont="1" applyBorder="1" applyAlignment="1" applyProtection="1">
      <alignment horizontal="right" vertical="center"/>
      <protection/>
    </xf>
    <xf numFmtId="212" fontId="101" fillId="0" borderId="17" xfId="61" applyNumberFormat="1" applyFont="1" applyBorder="1" applyAlignment="1" applyProtection="1">
      <alignment vertical="center"/>
      <protection/>
    </xf>
    <xf numFmtId="0" fontId="109" fillId="0" borderId="66" xfId="61" applyFont="1" applyBorder="1" applyAlignment="1" applyProtection="1">
      <alignment horizontal="center"/>
      <protection/>
    </xf>
    <xf numFmtId="0" fontId="109" fillId="0" borderId="204" xfId="61" applyFont="1" applyBorder="1" applyAlignment="1" applyProtection="1">
      <alignment horizontal="center"/>
      <protection/>
    </xf>
    <xf numFmtId="0" fontId="109" fillId="0" borderId="84" xfId="61" applyFont="1" applyBorder="1" applyAlignment="1" applyProtection="1">
      <alignment horizontal="center"/>
      <protection/>
    </xf>
    <xf numFmtId="0" fontId="109" fillId="0" borderId="93" xfId="61" applyFont="1" applyBorder="1" applyAlignment="1" applyProtection="1">
      <alignment horizontal="center"/>
      <protection/>
    </xf>
    <xf numFmtId="0" fontId="39" fillId="0" borderId="12" xfId="61" applyFont="1" applyBorder="1" applyAlignment="1" applyProtection="1">
      <alignment horizontal="center" vertical="center"/>
      <protection/>
    </xf>
    <xf numFmtId="0" fontId="39" fillId="0" borderId="205" xfId="61" applyFont="1" applyBorder="1" applyAlignment="1" applyProtection="1">
      <alignment horizontal="center" vertical="center"/>
      <protection/>
    </xf>
    <xf numFmtId="0" fontId="39" fillId="0" borderId="194" xfId="61" applyFont="1" applyBorder="1" applyAlignment="1" applyProtection="1">
      <alignment horizontal="center" vertical="center"/>
      <protection/>
    </xf>
    <xf numFmtId="0" fontId="99" fillId="0" borderId="206" xfId="61" applyFont="1" applyBorder="1" applyAlignment="1" applyProtection="1">
      <alignment horizontal="left" vertical="center" shrinkToFit="1"/>
      <protection/>
    </xf>
    <xf numFmtId="0" fontId="99" fillId="0" borderId="207" xfId="61" applyFont="1" applyBorder="1" applyAlignment="1" applyProtection="1">
      <alignment horizontal="left" vertical="center" shrinkToFit="1"/>
      <protection/>
    </xf>
    <xf numFmtId="0" fontId="99" fillId="0" borderId="187" xfId="61" applyFont="1" applyBorder="1" applyAlignment="1" applyProtection="1">
      <alignment horizontal="left" vertical="center" shrinkToFit="1"/>
      <protection/>
    </xf>
    <xf numFmtId="0" fontId="99" fillId="0" borderId="55" xfId="61" applyFont="1" applyBorder="1" applyAlignment="1" applyProtection="1">
      <alignment horizontal="left" vertical="center" shrinkToFit="1"/>
      <protection/>
    </xf>
    <xf numFmtId="0" fontId="99" fillId="0" borderId="10" xfId="61" applyFont="1" applyBorder="1" applyAlignment="1">
      <alignment horizontal="right" vertical="center"/>
      <protection/>
    </xf>
    <xf numFmtId="0" fontId="99" fillId="0" borderId="11" xfId="61" applyFont="1" applyBorder="1" applyAlignment="1">
      <alignment horizontal="right" vertical="center"/>
      <protection/>
    </xf>
    <xf numFmtId="0" fontId="99" fillId="0" borderId="15" xfId="61" applyFont="1" applyBorder="1" applyAlignment="1">
      <alignment horizontal="right" vertical="center"/>
      <protection/>
    </xf>
    <xf numFmtId="0" fontId="99" fillId="0" borderId="16" xfId="61" applyFont="1" applyBorder="1" applyAlignment="1">
      <alignment horizontal="right" vertical="center"/>
      <protection/>
    </xf>
    <xf numFmtId="0" fontId="39" fillId="0" borderId="10" xfId="61" applyFont="1" applyBorder="1" applyAlignment="1" applyProtection="1">
      <alignment horizontal="center" vertical="center"/>
      <protection/>
    </xf>
    <xf numFmtId="0" fontId="39" fillId="0" borderId="11" xfId="61" applyFont="1" applyBorder="1" applyAlignment="1" applyProtection="1">
      <alignment horizontal="center" vertical="center"/>
      <protection/>
    </xf>
    <xf numFmtId="0" fontId="99" fillId="0" borderId="208" xfId="61" applyFont="1" applyBorder="1" applyAlignment="1">
      <alignment/>
      <protection/>
    </xf>
    <xf numFmtId="0" fontId="99" fillId="0" borderId="66" xfId="61" applyFont="1" applyBorder="1" applyAlignment="1">
      <alignment/>
      <protection/>
    </xf>
    <xf numFmtId="0" fontId="99" fillId="0" borderId="90" xfId="61" applyFont="1" applyBorder="1" applyAlignment="1">
      <alignment/>
      <protection/>
    </xf>
    <xf numFmtId="0" fontId="99" fillId="0" borderId="84" xfId="61" applyFont="1" applyBorder="1" applyAlignment="1">
      <alignment/>
      <protection/>
    </xf>
    <xf numFmtId="3" fontId="111" fillId="0" borderId="0" xfId="61" applyNumberFormat="1" applyFont="1" applyBorder="1" applyAlignment="1" applyProtection="1">
      <alignment horizontal="right" vertical="center"/>
      <protection/>
    </xf>
    <xf numFmtId="0" fontId="101" fillId="0" borderId="0" xfId="61" applyFont="1" applyBorder="1" applyAlignment="1" applyProtection="1">
      <alignment horizontal="center" vertical="center" shrinkToFit="1"/>
      <protection/>
    </xf>
    <xf numFmtId="0" fontId="108" fillId="0" borderId="203" xfId="61" applyFont="1" applyBorder="1" applyAlignment="1" applyProtection="1">
      <alignment horizontal="center" vertical="center" wrapText="1" shrinkToFit="1"/>
      <protection/>
    </xf>
    <xf numFmtId="0" fontId="0" fillId="0" borderId="11" xfId="0" applyBorder="1" applyAlignment="1">
      <alignment horizontal="left" vertical="center" shrinkToFit="1"/>
    </xf>
    <xf numFmtId="0" fontId="0" fillId="0" borderId="183" xfId="0" applyBorder="1" applyAlignment="1">
      <alignment horizontal="left" vertical="center" shrinkToFit="1"/>
    </xf>
    <xf numFmtId="0" fontId="101" fillId="0" borderId="14" xfId="0" applyFont="1" applyBorder="1" applyAlignment="1">
      <alignment horizontal="left" vertical="center" shrinkToFit="1"/>
    </xf>
    <xf numFmtId="0" fontId="0" fillId="0" borderId="18" xfId="0" applyBorder="1" applyAlignment="1">
      <alignment horizontal="left" vertical="center" shrinkToFit="1"/>
    </xf>
    <xf numFmtId="0" fontId="0" fillId="0" borderId="182" xfId="0" applyBorder="1" applyAlignment="1">
      <alignment horizontal="left" vertical="center" shrinkToFit="1"/>
    </xf>
    <xf numFmtId="0" fontId="0" fillId="0" borderId="140" xfId="0" applyBorder="1" applyAlignment="1">
      <alignment horizontal="center" vertical="center" shrinkToFit="1"/>
    </xf>
    <xf numFmtId="0" fontId="101" fillId="0" borderId="67" xfId="0" applyFont="1" applyBorder="1" applyAlignment="1">
      <alignment horizontal="center" vertical="center" shrinkToFit="1"/>
    </xf>
    <xf numFmtId="0" fontId="0" fillId="0" borderId="52" xfId="0" applyBorder="1" applyAlignment="1">
      <alignment/>
    </xf>
    <xf numFmtId="0" fontId="99" fillId="0" borderId="67" xfId="61" applyFont="1" applyBorder="1" applyAlignment="1">
      <alignment horizontal="center" vertical="center" shrinkToFit="1"/>
      <protection/>
    </xf>
    <xf numFmtId="0" fontId="99" fillId="0" borderId="52" xfId="61" applyFont="1" applyBorder="1" applyAlignment="1">
      <alignment horizontal="center" vertical="center" shrinkToFit="1"/>
      <protection/>
    </xf>
    <xf numFmtId="0" fontId="0" fillId="0" borderId="209" xfId="0" applyBorder="1" applyAlignment="1">
      <alignment horizontal="center" vertical="center" shrinkToFit="1"/>
    </xf>
    <xf numFmtId="0" fontId="0" fillId="0" borderId="52" xfId="0" applyBorder="1" applyAlignment="1">
      <alignment horizontal="center" vertical="center" shrinkToFit="1"/>
    </xf>
    <xf numFmtId="0" fontId="0" fillId="33" borderId="62" xfId="0" applyFont="1" applyFill="1" applyBorder="1" applyAlignment="1" applyProtection="1">
      <alignment horizontal="left" wrapText="1"/>
      <protection locked="0"/>
    </xf>
    <xf numFmtId="0" fontId="0" fillId="33" borderId="62" xfId="0" applyFont="1" applyFill="1" applyBorder="1" applyAlignment="1" applyProtection="1">
      <alignment horizontal="left"/>
      <protection locked="0"/>
    </xf>
    <xf numFmtId="0" fontId="0" fillId="41" borderId="62" xfId="0" applyFont="1" applyFill="1" applyBorder="1" applyAlignment="1" applyProtection="1">
      <alignment/>
      <protection locked="0"/>
    </xf>
    <xf numFmtId="0" fontId="0" fillId="41" borderId="62" xfId="0" applyFont="1" applyFill="1" applyBorder="1" applyAlignment="1" applyProtection="1">
      <alignment horizontal="left"/>
      <protection locked="0"/>
    </xf>
    <xf numFmtId="0" fontId="30" fillId="0" borderId="62" xfId="0" applyFont="1" applyBorder="1" applyAlignment="1" applyProtection="1">
      <alignment vertical="top"/>
      <protection locked="0"/>
    </xf>
    <xf numFmtId="0" fontId="2" fillId="0" borderId="0" xfId="0" applyFont="1" applyFill="1" applyBorder="1" applyAlignment="1" applyProtection="1">
      <alignment horizontal="left" vertical="top" wrapText="1"/>
      <protection locked="0"/>
    </xf>
    <xf numFmtId="0" fontId="2"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90" fillId="0" borderId="6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top" shrinkToFit="1"/>
      <protection locked="0"/>
    </xf>
    <xf numFmtId="0" fontId="0" fillId="0" borderId="61" xfId="0" applyFont="1" applyFill="1" applyBorder="1" applyAlignment="1" applyProtection="1">
      <alignment horizontal="left" vertical="top" wrapTex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DandD3eCharSeet" xfId="61"/>
    <cellStyle name="標準_Sheet1" xfId="62"/>
    <cellStyle name="標準_キャラクターシートDnD3.5eVer2" xfId="63"/>
    <cellStyle name="Followed Hyperlink" xfId="64"/>
    <cellStyle name="良い" xfId="65"/>
  </cellStyles>
  <dxfs count="84">
    <dxf>
      <font>
        <color indexed="9"/>
      </font>
    </dxf>
    <dxf>
      <font>
        <color indexed="9"/>
      </font>
    </dxf>
    <dxf>
      <font>
        <color indexed="55"/>
      </font>
    </dxf>
    <dxf>
      <font>
        <color indexed="9"/>
      </font>
    </dxf>
    <dxf>
      <font>
        <b/>
        <i val="0"/>
      </font>
      <fill>
        <patternFill>
          <bgColor indexed="26"/>
        </patternFill>
      </fill>
    </dxf>
    <dxf>
      <font>
        <color indexed="9"/>
      </font>
    </dxf>
    <dxf>
      <font>
        <color indexed="9"/>
      </font>
    </dxf>
    <dxf>
      <font>
        <color indexed="55"/>
      </font>
    </dxf>
    <dxf>
      <font>
        <color indexed="55"/>
      </font>
    </dxf>
    <dxf>
      <font>
        <color indexed="55"/>
      </font>
    </dxf>
    <dxf>
      <font>
        <color indexed="55"/>
      </font>
    </dxf>
    <dxf>
      <font>
        <color indexed="55"/>
      </font>
    </dxf>
    <dxf>
      <font>
        <color indexed="55"/>
      </font>
    </dxf>
    <dxf>
      <font>
        <color indexed="55"/>
      </font>
    </dxf>
    <dxf>
      <font>
        <color indexed="55"/>
      </font>
    </dxf>
    <dxf>
      <font>
        <color indexed="55"/>
      </font>
    </dxf>
    <dxf>
      <font>
        <color indexed="55"/>
      </font>
    </dxf>
    <dxf>
      <font>
        <color indexed="55"/>
      </font>
    </dxf>
    <dxf>
      <font>
        <color indexed="55"/>
      </font>
    </dxf>
    <dxf>
      <font>
        <color indexed="55"/>
      </font>
    </dxf>
    <dxf>
      <font>
        <color indexed="55"/>
      </font>
    </dxf>
    <dxf>
      <font>
        <color indexed="55"/>
      </font>
    </dxf>
    <dxf>
      <font>
        <color indexed="55"/>
      </font>
    </dxf>
    <dxf>
      <font>
        <color indexed="55"/>
      </font>
    </dxf>
    <dxf>
      <font>
        <color indexed="55"/>
      </font>
    </dxf>
    <dxf>
      <font>
        <color indexed="55"/>
      </font>
    </dxf>
    <dxf>
      <font>
        <color indexed="55"/>
      </font>
    </dxf>
    <dxf>
      <font>
        <color indexed="55"/>
      </font>
    </dxf>
    <dxf>
      <font>
        <color indexed="55"/>
      </font>
    </dxf>
    <dxf>
      <font>
        <color indexed="55"/>
      </font>
    </dxf>
    <dxf>
      <font>
        <color indexed="55"/>
      </font>
    </dxf>
    <dxf>
      <font>
        <color indexed="55"/>
      </font>
    </dxf>
    <dxf>
      <font>
        <color indexed="55"/>
      </font>
    </dxf>
    <dxf>
      <font>
        <color indexed="55"/>
      </font>
    </dxf>
    <dxf>
      <font>
        <color indexed="55"/>
      </font>
    </dxf>
    <dxf>
      <font>
        <color indexed="55"/>
      </font>
    </dxf>
    <dxf>
      <font>
        <color indexed="55"/>
      </font>
    </dxf>
    <dxf>
      <font>
        <color indexed="55"/>
      </font>
    </dxf>
    <dxf>
      <font>
        <color indexed="55"/>
      </font>
    </dxf>
    <dxf>
      <font>
        <color indexed="55"/>
      </font>
    </dxf>
    <dxf>
      <font>
        <color indexed="55"/>
      </font>
    </dxf>
    <dxf>
      <font>
        <color indexed="55"/>
      </font>
    </dxf>
    <dxf>
      <font>
        <color indexed="55"/>
      </font>
    </dxf>
    <dxf>
      <font>
        <color indexed="55"/>
      </font>
    </dxf>
    <dxf>
      <font>
        <color indexed="55"/>
      </font>
    </dxf>
    <dxf>
      <font>
        <color indexed="55"/>
      </font>
    </dxf>
    <dxf>
      <font>
        <color indexed="55"/>
      </font>
    </dxf>
    <dxf>
      <font>
        <color indexed="55"/>
      </font>
    </dxf>
    <dxf>
      <font>
        <color indexed="55"/>
      </font>
    </dxf>
    <dxf>
      <font>
        <color indexed="55"/>
      </font>
    </dxf>
    <dxf>
      <font>
        <color indexed="55"/>
      </font>
    </dxf>
    <dxf>
      <font>
        <color indexed="55"/>
      </font>
    </dxf>
    <dxf>
      <font>
        <color indexed="55"/>
      </font>
    </dxf>
    <dxf>
      <font>
        <color indexed="55"/>
      </font>
    </dxf>
    <dxf>
      <font>
        <color indexed="55"/>
      </font>
    </dxf>
    <dxf>
      <font>
        <color indexed="55"/>
      </font>
    </dxf>
    <dxf>
      <font>
        <color indexed="55"/>
      </font>
    </dxf>
    <dxf>
      <font>
        <color indexed="55"/>
      </font>
    </dxf>
    <dxf>
      <font>
        <color indexed="55"/>
      </font>
    </dxf>
    <dxf>
      <font>
        <color indexed="55"/>
      </font>
    </dxf>
    <dxf>
      <font>
        <color indexed="55"/>
      </font>
    </dxf>
    <dxf>
      <font>
        <color indexed="9"/>
      </font>
    </dxf>
    <dxf>
      <font>
        <color indexed="9"/>
      </font>
    </dxf>
    <dxf>
      <font>
        <color indexed="9"/>
      </font>
    </dxf>
    <dxf>
      <font>
        <color indexed="9"/>
      </font>
    </dxf>
    <dxf>
      <font>
        <color indexed="9"/>
      </font>
    </dxf>
    <dxf>
      <font>
        <color indexed="8"/>
      </font>
    </dxf>
    <dxf>
      <font>
        <color indexed="9"/>
      </font>
    </dxf>
    <dxf>
      <font>
        <color indexed="9"/>
      </font>
    </dxf>
    <dxf>
      <font>
        <color indexed="12"/>
      </font>
    </dxf>
    <dxf>
      <font>
        <b/>
        <i val="0"/>
        <color indexed="8"/>
      </font>
    </dxf>
    <dxf>
      <font>
        <color indexed="10"/>
      </font>
    </dxf>
    <dxf>
      <font>
        <color auto="1"/>
      </font>
      <fill>
        <patternFill>
          <bgColor indexed="11"/>
        </patternFill>
      </fill>
    </dxf>
    <dxf>
      <fill>
        <patternFill>
          <bgColor indexed="14"/>
        </patternFill>
      </fill>
    </dxf>
    <dxf>
      <fill>
        <patternFill>
          <bgColor indexed="22"/>
        </patternFill>
      </fill>
    </dxf>
    <dxf>
      <fill>
        <patternFill>
          <bgColor indexed="11"/>
        </patternFill>
      </fill>
    </dxf>
    <dxf>
      <fill>
        <patternFill>
          <bgColor indexed="22"/>
        </patternFill>
      </fill>
    </dxf>
    <dxf>
      <font>
        <color rgb="FFFF0000"/>
      </font>
      <border/>
    </dxf>
    <dxf>
      <font>
        <b/>
        <i val="0"/>
        <color rgb="FF000000"/>
      </font>
      <border/>
    </dxf>
    <dxf>
      <font>
        <color rgb="FF0000FF"/>
      </font>
      <border/>
    </dxf>
    <dxf>
      <font>
        <color rgb="FFFFFFFF"/>
      </font>
      <border/>
    </dxf>
    <dxf>
      <font>
        <color rgb="FF000000"/>
      </font>
      <border/>
    </dxf>
    <dxf>
      <font>
        <color rgb="FF969696"/>
      </font>
      <border/>
    </dxf>
    <dxf>
      <font>
        <b/>
        <i val="0"/>
      </font>
      <fill>
        <patternFill>
          <bgColor rgb="FFFFFF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9525</xdr:rowOff>
    </xdr:from>
    <xdr:to>
      <xdr:col>2</xdr:col>
      <xdr:colOff>666750</xdr:colOff>
      <xdr:row>8</xdr:row>
      <xdr:rowOff>0</xdr:rowOff>
    </xdr:to>
    <xdr:pic>
      <xdr:nvPicPr>
        <xdr:cNvPr id="1" name="Picture 3"/>
        <xdr:cNvPicPr preferRelativeResize="1">
          <a:picLocks noChangeAspect="1"/>
        </xdr:cNvPicPr>
      </xdr:nvPicPr>
      <xdr:blipFill>
        <a:blip r:embed="rId1"/>
        <a:stretch>
          <a:fillRect/>
        </a:stretch>
      </xdr:blipFill>
      <xdr:spPr>
        <a:xfrm>
          <a:off x="161925" y="266700"/>
          <a:ext cx="1333500" cy="1238250"/>
        </a:xfrm>
        <a:prstGeom prst="rect">
          <a:avLst/>
        </a:prstGeom>
        <a:noFill/>
        <a:ln w="9525" cmpd="sng">
          <a:noFill/>
        </a:ln>
      </xdr:spPr>
    </xdr:pic>
    <xdr:clientData/>
  </xdr:twoCellAnchor>
  <xdr:twoCellAnchor>
    <xdr:from>
      <xdr:col>1</xdr:col>
      <xdr:colOff>0</xdr:colOff>
      <xdr:row>13</xdr:row>
      <xdr:rowOff>57150</xdr:rowOff>
    </xdr:from>
    <xdr:to>
      <xdr:col>5</xdr:col>
      <xdr:colOff>2295525</xdr:colOff>
      <xdr:row>17</xdr:row>
      <xdr:rowOff>19050</xdr:rowOff>
    </xdr:to>
    <xdr:sp>
      <xdr:nvSpPr>
        <xdr:cNvPr id="2" name="Text Box 4"/>
        <xdr:cNvSpPr txBox="1">
          <a:spLocks noChangeArrowheads="1"/>
        </xdr:cNvSpPr>
      </xdr:nvSpPr>
      <xdr:spPr>
        <a:xfrm>
          <a:off x="142875" y="2352675"/>
          <a:ext cx="7267575" cy="8591550"/>
        </a:xfrm>
        <a:prstGeom prst="rect">
          <a:avLst/>
        </a:prstGeom>
        <a:solidFill>
          <a:srgbClr val="FFFFFF"/>
        </a:solidFill>
        <a:ln w="12700"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ＳＨ Ｇ30-P"/>
              <a:ea typeface="ＳＨ Ｇ30-P"/>
              <a:cs typeface="ＳＨ Ｇ30-P"/>
            </a:rPr>
            <a:t>The following text is the property of Wizards of the Coast, Inc. and is Copyright 2000 Wizards of the Coast, Inc ("Wizards"). All Rights Reserved.
</a:t>
          </a:r>
          <a:r>
            <a:rPr lang="en-US" cap="none" sz="900" b="0" i="0" u="none" baseline="0">
              <a:solidFill>
                <a:srgbClr val="000000"/>
              </a:solidFill>
              <a:latin typeface="ＳＨ Ｇ30-P"/>
              <a:ea typeface="ＳＨ Ｇ30-P"/>
              <a:cs typeface="ＳＨ Ｇ30-P"/>
            </a:rPr>
            <a:t>1. Definitions: (a)"Contributors" means the copyright and/or trademark owners who have contributed Open Game Content; (b)"Derivative Material" means copyrighted material including derivative works and translations (including into other computer languages), potation, modification, correction, addition, extension, upgrade, improvement, compilation, abridgment or other form in which an existing work may be recast, transformed or adapted; (c) "Distribute" means to reproduce, license, rent, lease, sell, broadcast, publicly display, transmit or otherwise distribute; (d)"Open Game Content" means the game mechanic and includes the methods, procedures, processes and routines to the extent such content does not embody the Product Identity and is an enhancement over the prior art and any additional content clearly identified as Open Game Content by the Contributor, and means any work covered by this License, including translations and derivative works under copyright law, but specifically excludes Product Identity. (e) "Product Identity" means product and product line names, logos and identifying marks including trade dress; artifacts; creatures characters; stories, storylines, plots, thematic elements, dialogue, incidents, language, artwork, symbols, designs, depictions, likenesses, formats, poses, concepts, themes and graphic, photographic and other visual or audio representations; names and descriptions of characters, spells, enchantments, personalities, teams, personas, likenesses and special abilities; places, locations, environments, creatures, equipment, magical or supernatural abilities or effects, logos, symbols, or graphic designs; and any other trademark or registered trademark clearly identified as Product identity by the owner of the Product Identity, and which specifically excludes the Open Game Content; (f) "Trademark" means the logos, names, mark, sign, motto, designs that are used by a Contributor to identify itself or its products or the associated products contributed to the Open Game License by the Contributor (g) "Use", "Used" or "Using" means to use, Distribute, copy, edit, format, modify, translate and otherwise create Derivative Material of Open Game Content. (h) "You" or "Your" means the licensee in terms of this agreement.
</a:t>
          </a:r>
          <a:r>
            <a:rPr lang="en-US" cap="none" sz="900" b="0" i="0" u="none" baseline="0">
              <a:solidFill>
                <a:srgbClr val="000000"/>
              </a:solidFill>
              <a:latin typeface="ＳＨ Ｇ30-P"/>
              <a:ea typeface="ＳＨ Ｇ30-P"/>
              <a:cs typeface="ＳＨ Ｇ30-P"/>
            </a:rPr>
            <a:t>2. The License: This License applies to any Open Game Content that contains a notice indicating that the Open Game Content may only be Used under and in terms of this License. You must affix such a notice to any Open Game Content that you Use. No terms may be added to or subtracted from this License except as described by the License itself. No other terms or conditions may be applied to any Open Game Content distributed using this License.
</a:t>
          </a:r>
          <a:r>
            <a:rPr lang="en-US" cap="none" sz="900" b="0" i="0" u="none" baseline="0">
              <a:solidFill>
                <a:srgbClr val="000000"/>
              </a:solidFill>
              <a:latin typeface="ＳＨ Ｇ30-P"/>
              <a:ea typeface="ＳＨ Ｇ30-P"/>
              <a:cs typeface="ＳＨ Ｇ30-P"/>
            </a:rPr>
            <a:t>3.Offer and Acceptance: By Using the Open Game Content You indicate Your acceptance of the terms of this License.
</a:t>
          </a:r>
          <a:r>
            <a:rPr lang="en-US" cap="none" sz="900" b="0" i="0" u="none" baseline="0">
              <a:solidFill>
                <a:srgbClr val="000000"/>
              </a:solidFill>
              <a:latin typeface="ＳＨ Ｇ30-P"/>
              <a:ea typeface="ＳＨ Ｇ30-P"/>
              <a:cs typeface="ＳＨ Ｇ30-P"/>
            </a:rPr>
            <a:t>4. Grant and Consideration: In consideration for agreeing to use this License, the Contributors grant You a perpetual, worldwide, royalty-free, non-exclusive license with the exact terms of this License to Use, the Open Game Content.
</a:t>
          </a:r>
          <a:r>
            <a:rPr lang="en-US" cap="none" sz="900" b="0" i="0" u="none" baseline="0">
              <a:solidFill>
                <a:srgbClr val="000000"/>
              </a:solidFill>
              <a:latin typeface="ＳＨ Ｇ30-P"/>
              <a:ea typeface="ＳＨ Ｇ30-P"/>
              <a:cs typeface="ＳＨ Ｇ30-P"/>
            </a:rPr>
            <a:t>5.Representation of Authority to Contribute: If You are contributing original material as Open Game Content, You represent that Your Contributions are Your original creation and/or You have sufficient rights to grant the rights conveyed by this License.
</a:t>
          </a:r>
          <a:r>
            <a:rPr lang="en-US" cap="none" sz="900" b="0" i="0" u="none" baseline="0">
              <a:solidFill>
                <a:srgbClr val="000000"/>
              </a:solidFill>
              <a:latin typeface="ＳＨ Ｇ30-P"/>
              <a:ea typeface="ＳＨ Ｇ30-P"/>
              <a:cs typeface="ＳＨ Ｇ30-P"/>
            </a:rPr>
            <a:t>6.Notice of License Copyright: You must update the COPYRIGHT NOTICE portion of this License to include the exact text of the COPYRIGHT NOTICE of any Open Game Content You are copying, modifying or distributing, and You must add the title, the copyright date, and the copyright holder's name to the COPYRIGHT NOTICE of any original Open Game Content you Distribute.
</a:t>
          </a:r>
          <a:r>
            <a:rPr lang="en-US" cap="none" sz="900" b="0" i="0" u="none" baseline="0">
              <a:solidFill>
                <a:srgbClr val="000000"/>
              </a:solidFill>
              <a:latin typeface="ＳＨ Ｇ30-P"/>
              <a:ea typeface="ＳＨ Ｇ30-P"/>
              <a:cs typeface="ＳＨ Ｇ30-P"/>
            </a:rPr>
            <a:t>7. Use of Product Identity: You agree not to Use any Product Identity, including as an indication as to compatibility, except as expressly licensed in another, independent Agreement with the owner of each element of that Product Identity. You agree not to indicate compatibility or co-adaptability with any Trademark or Registered Trademark in conjunction with a work containing Open Game Content except as expressly licensed in another, independent Agreement with the owner of such Trademark or Registered Trademark. The use of any Product Identity in Open Game Content does not constitute a challenge to the ownership of that Product Identity. The owner of any Product Identity used in Open Game Content shall retain all rights, title and interest in and to that Product Identity.
</a:t>
          </a:r>
          <a:r>
            <a:rPr lang="en-US" cap="none" sz="900" b="0" i="0" u="none" baseline="0">
              <a:solidFill>
                <a:srgbClr val="000000"/>
              </a:solidFill>
              <a:latin typeface="ＳＨ Ｇ30-P"/>
              <a:ea typeface="ＳＨ Ｇ30-P"/>
              <a:cs typeface="ＳＨ Ｇ30-P"/>
            </a:rPr>
            <a:t>8. Identification: If you distribute Open Game Content You must clearly indicate which portions of the work that you are distributing are Open Game Content.
</a:t>
          </a:r>
          <a:r>
            <a:rPr lang="en-US" cap="none" sz="900" b="0" i="0" u="none" baseline="0">
              <a:solidFill>
                <a:srgbClr val="000000"/>
              </a:solidFill>
              <a:latin typeface="ＳＨ Ｇ30-P"/>
              <a:ea typeface="ＳＨ Ｇ30-P"/>
              <a:cs typeface="ＳＨ Ｇ30-P"/>
            </a:rPr>
            <a:t>9. Updating the License: Wizards or its designated Agents may publish updated versions of this License. You may use any authorized version of this License to copy, modify and distribute any Open Game Content originally distributed under any version of this License.
</a:t>
          </a:r>
          <a:r>
            <a:rPr lang="en-US" cap="none" sz="900" b="0" i="0" u="none" baseline="0">
              <a:solidFill>
                <a:srgbClr val="000000"/>
              </a:solidFill>
              <a:latin typeface="ＳＨ Ｇ30-P"/>
              <a:ea typeface="ＳＨ Ｇ30-P"/>
              <a:cs typeface="ＳＨ Ｇ30-P"/>
            </a:rPr>
            <a:t>10 Copy of this License: You MUST include a copy of this License with every copy of the Open Game Content You Distribute.
</a:t>
          </a:r>
          <a:r>
            <a:rPr lang="en-US" cap="none" sz="900" b="0" i="0" u="none" baseline="0">
              <a:solidFill>
                <a:srgbClr val="000000"/>
              </a:solidFill>
              <a:latin typeface="ＳＨ Ｇ30-P"/>
              <a:ea typeface="ＳＨ Ｇ30-P"/>
              <a:cs typeface="ＳＨ Ｇ30-P"/>
            </a:rPr>
            <a:t>11. Use of Contributor Credits: You may not market or advertise the Open Game Content using the name of any Contributor unless You have written permission from the Contributor to do so.
</a:t>
          </a:r>
          <a:r>
            <a:rPr lang="en-US" cap="none" sz="900" b="0" i="0" u="none" baseline="0">
              <a:solidFill>
                <a:srgbClr val="000000"/>
              </a:solidFill>
              <a:latin typeface="ＳＨ Ｇ30-P"/>
              <a:ea typeface="ＳＨ Ｇ30-P"/>
              <a:cs typeface="ＳＨ Ｇ30-P"/>
            </a:rPr>
            <a:t>12 Inability to Comply: If it is impossible for You to comply with any of the terms of this License with respect to some or all of the Open Game Content due to statute, judicial order, or governmental regulation then You may not Use any Open Game Material so affected.
</a:t>
          </a:r>
          <a:r>
            <a:rPr lang="en-US" cap="none" sz="900" b="0" i="0" u="none" baseline="0">
              <a:solidFill>
                <a:srgbClr val="000000"/>
              </a:solidFill>
              <a:latin typeface="ＳＨ Ｇ30-P"/>
              <a:ea typeface="ＳＨ Ｇ30-P"/>
              <a:cs typeface="ＳＨ Ｇ30-P"/>
            </a:rPr>
            <a:t>13 Termination: This License will terminate automatically if You fail to comply with all terms herein and fail to cure such breach within 30 days of becoming aware of the breach. All sublicenses shall survive the termination of this License.
</a:t>
          </a:r>
          <a:r>
            <a:rPr lang="en-US" cap="none" sz="900" b="0" i="0" u="none" baseline="0">
              <a:solidFill>
                <a:srgbClr val="000000"/>
              </a:solidFill>
              <a:latin typeface="ＳＨ Ｇ30-P"/>
              <a:ea typeface="ＳＨ Ｇ30-P"/>
              <a:cs typeface="ＳＨ Ｇ30-P"/>
            </a:rPr>
            <a:t>14 Reformation: If any provision of this License is held to be unenforceable, such provision shall be reformed only to the extent necessary to make it enforceable.
</a:t>
          </a:r>
          <a:r>
            <a:rPr lang="en-US" cap="none" sz="900" b="0" i="0" u="none" baseline="0">
              <a:solidFill>
                <a:srgbClr val="000000"/>
              </a:solidFill>
              <a:latin typeface="ＳＨ Ｇ30-P"/>
              <a:ea typeface="ＳＨ Ｇ30-P"/>
              <a:cs typeface="ＳＨ Ｇ30-P"/>
            </a:rPr>
            <a:t>15 COPYRIGHT NOTICE
</a:t>
          </a:r>
          <a:r>
            <a:rPr lang="en-US" cap="none" sz="900" b="0" i="0" u="none" baseline="0">
              <a:solidFill>
                <a:srgbClr val="000000"/>
              </a:solidFill>
              <a:latin typeface="ＳＨ Ｇ30-P"/>
              <a:ea typeface="ＳＨ Ｇ30-P"/>
              <a:cs typeface="ＳＨ Ｇ30-P"/>
            </a:rPr>
            <a:t>Open Game License v 1.0 Copyright 2000, Wizards of the Coast, Inc.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ainbow.s140.xrea.com/cdspe/" TargetMode="External" /><Relationship Id="rId2" Type="http://schemas.openxmlformats.org/officeDocument/2006/relationships/hyperlink" Target="http://www5e.biglobe.ne.jp/~dm-skm/dungeonsgate/index.ht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7.vml" /><Relationship Id="rId3"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F18"/>
  <sheetViews>
    <sheetView zoomScalePageLayoutView="0" workbookViewId="0" topLeftCell="A1">
      <selection activeCell="G9" sqref="G9"/>
    </sheetView>
  </sheetViews>
  <sheetFormatPr defaultColWidth="9.00390625" defaultRowHeight="13.5"/>
  <cols>
    <col min="1" max="1" width="1.875" style="0" customWidth="1"/>
    <col min="4" max="4" width="45.00390625" style="0" customWidth="1"/>
    <col min="5" max="5" width="2.25390625" style="0" customWidth="1"/>
    <col min="6" max="6" width="30.50390625" style="0" customWidth="1"/>
  </cols>
  <sheetData>
    <row r="1" ht="20.25">
      <c r="B1" s="49" t="s">
        <v>98</v>
      </c>
    </row>
    <row r="2" spans="5:6" ht="14.25" thickBot="1">
      <c r="E2" s="548" t="s">
        <v>516</v>
      </c>
      <c r="F2" s="548"/>
    </row>
    <row r="3" spans="4:6" ht="13.5" customHeight="1">
      <c r="D3" s="549" t="s">
        <v>99</v>
      </c>
      <c r="E3" s="50"/>
      <c r="F3" s="51" t="s">
        <v>100</v>
      </c>
    </row>
    <row r="4" spans="4:6" ht="12.75" customHeight="1">
      <c r="D4" s="550"/>
      <c r="E4" s="50"/>
      <c r="F4" s="53" t="s">
        <v>101</v>
      </c>
    </row>
    <row r="5" spans="4:6" ht="13.5" customHeight="1">
      <c r="D5" s="550"/>
      <c r="F5" s="54" t="s">
        <v>28</v>
      </c>
    </row>
    <row r="6" spans="4:6" ht="13.5" customHeight="1">
      <c r="D6" s="550"/>
      <c r="F6" s="55" t="s">
        <v>29</v>
      </c>
    </row>
    <row r="7" spans="4:6" ht="16.5" customHeight="1">
      <c r="D7" s="551"/>
      <c r="F7" s="55" t="s">
        <v>517</v>
      </c>
    </row>
    <row r="8" spans="4:6" ht="14.25" customHeight="1">
      <c r="D8" s="52"/>
      <c r="F8" s="55"/>
    </row>
    <row r="9" spans="2:6" ht="14.25" thickBot="1">
      <c r="B9" s="552" t="s">
        <v>96</v>
      </c>
      <c r="C9" s="553"/>
      <c r="D9" s="553"/>
      <c r="E9" s="56"/>
      <c r="F9" s="55"/>
    </row>
    <row r="10" spans="2:6" ht="4.5" customHeight="1" thickBot="1">
      <c r="B10" s="554"/>
      <c r="C10" s="555"/>
      <c r="D10" s="555"/>
      <c r="F10" s="58"/>
    </row>
    <row r="11" spans="2:6" ht="13.5">
      <c r="B11" s="554"/>
      <c r="C11" s="555"/>
      <c r="D11" s="555"/>
      <c r="F11" s="59" t="s">
        <v>102</v>
      </c>
    </row>
    <row r="12" spans="2:6" ht="14.25">
      <c r="B12" s="556"/>
      <c r="C12" s="557"/>
      <c r="D12" s="557"/>
      <c r="F12" s="60" t="s">
        <v>103</v>
      </c>
    </row>
    <row r="13" spans="2:6" ht="15.75" thickBot="1">
      <c r="B13" s="61" t="s">
        <v>97</v>
      </c>
      <c r="C13" s="62"/>
      <c r="D13" s="62"/>
      <c r="F13" s="63" t="s">
        <v>104</v>
      </c>
    </row>
    <row r="14" spans="2:6" ht="4.5" customHeight="1">
      <c r="B14" s="64"/>
      <c r="C14" s="64"/>
      <c r="D14" s="64"/>
      <c r="E14" s="62"/>
      <c r="F14" s="62"/>
    </row>
    <row r="15" spans="2:6" ht="401.25" customHeight="1">
      <c r="B15" s="64"/>
      <c r="C15" s="64"/>
      <c r="D15" s="64"/>
      <c r="E15" s="64"/>
      <c r="F15" s="64"/>
    </row>
    <row r="16" spans="2:6" ht="260.25" customHeight="1">
      <c r="B16" s="64"/>
      <c r="C16" s="64"/>
      <c r="D16" s="64"/>
      <c r="E16" s="64"/>
      <c r="F16" s="64"/>
    </row>
    <row r="17" spans="2:6" ht="13.5">
      <c r="B17" s="62"/>
      <c r="C17" s="62"/>
      <c r="D17" s="62"/>
      <c r="E17" s="62"/>
      <c r="F17" s="62"/>
    </row>
    <row r="18" spans="2:6" ht="13.5">
      <c r="B18" s="62"/>
      <c r="C18" s="62"/>
      <c r="D18" s="62"/>
      <c r="E18" s="62"/>
      <c r="F18" s="62"/>
    </row>
  </sheetData>
  <sheetProtection/>
  <mergeCells count="3">
    <mergeCell ref="E2:F2"/>
    <mergeCell ref="D3:D7"/>
    <mergeCell ref="B9:D12"/>
  </mergeCells>
  <hyperlinks>
    <hyperlink ref="F12" r:id="rId1" display="CDS:PE"/>
    <hyperlink ref="F13" r:id="rId2" display="Dungeon's Gate"/>
  </hyperlinks>
  <printOptions/>
  <pageMargins left="0.787" right="0.787" top="0.984" bottom="0.984" header="0.512" footer="0.512"/>
  <pageSetup horizontalDpi="300" verticalDpi="300" orientation="portrait" paperSize="9" r:id="rId4"/>
  <drawing r:id="rId3"/>
</worksheet>
</file>

<file path=xl/worksheets/sheet2.xml><?xml version="1.0" encoding="utf-8"?>
<worksheet xmlns="http://schemas.openxmlformats.org/spreadsheetml/2006/main" xmlns:r="http://schemas.openxmlformats.org/officeDocument/2006/relationships">
  <dimension ref="A1:CH108"/>
  <sheetViews>
    <sheetView zoomScalePageLayoutView="0" workbookViewId="0" topLeftCell="A1">
      <selection activeCell="H3" sqref="H3:W3"/>
    </sheetView>
  </sheetViews>
  <sheetFormatPr defaultColWidth="9.00390625" defaultRowHeight="13.5" outlineLevelCol="3"/>
  <cols>
    <col min="1" max="2" width="0.5" style="2" customWidth="1" outlineLevel="3"/>
    <col min="3" max="34" width="2.25390625" style="2" customWidth="1" outlineLevel="3"/>
    <col min="35" max="35" width="2.125" style="2" customWidth="1" outlineLevel="3"/>
    <col min="36" max="63" width="2.25390625" style="2" customWidth="1" outlineLevel="3"/>
    <col min="64" max="64" width="0.6171875" style="2" customWidth="1" outlineLevel="3"/>
    <col min="65" max="65" width="4.875" style="2" customWidth="1" outlineLevel="3"/>
    <col min="66" max="81" width="9.00390625" style="2" customWidth="1" outlineLevel="3"/>
    <col min="82" max="16384" width="9.00390625" style="349" customWidth="1"/>
  </cols>
  <sheetData>
    <row r="1" ht="12" customHeight="1">
      <c r="C1" s="1"/>
    </row>
    <row r="2" ht="3" customHeight="1"/>
    <row r="3" spans="3:84" ht="18" customHeight="1">
      <c r="C3" s="707" t="s">
        <v>153</v>
      </c>
      <c r="D3" s="747"/>
      <c r="E3" s="747"/>
      <c r="F3" s="747"/>
      <c r="G3" s="748"/>
      <c r="H3" s="755"/>
      <c r="I3" s="756"/>
      <c r="J3" s="756"/>
      <c r="K3" s="756"/>
      <c r="L3" s="756"/>
      <c r="M3" s="756"/>
      <c r="N3" s="756"/>
      <c r="O3" s="756"/>
      <c r="P3" s="756"/>
      <c r="Q3" s="756"/>
      <c r="R3" s="756"/>
      <c r="S3" s="756"/>
      <c r="T3" s="756"/>
      <c r="U3" s="756"/>
      <c r="V3" s="756"/>
      <c r="W3" s="749"/>
      <c r="AA3" s="729" t="s">
        <v>312</v>
      </c>
      <c r="AB3" s="730"/>
      <c r="AC3" s="730"/>
      <c r="AD3" s="730"/>
      <c r="AE3" s="730"/>
      <c r="AF3" s="759"/>
      <c r="AG3" s="759"/>
      <c r="AH3" s="759"/>
      <c r="AI3" s="759"/>
      <c r="CC3" s="2" t="s">
        <v>820</v>
      </c>
      <c r="CD3" s="349" t="s">
        <v>822</v>
      </c>
      <c r="CE3" s="349" t="s">
        <v>821</v>
      </c>
      <c r="CF3" s="2"/>
    </row>
    <row r="4" spans="3:86" ht="18" customHeight="1">
      <c r="C4" s="700" t="s">
        <v>151</v>
      </c>
      <c r="D4" s="751"/>
      <c r="E4" s="751"/>
      <c r="F4" s="751"/>
      <c r="G4" s="752"/>
      <c r="H4" s="753"/>
      <c r="I4" s="754"/>
      <c r="J4" s="754"/>
      <c r="K4" s="754"/>
      <c r="L4" s="754"/>
      <c r="M4" s="754"/>
      <c r="N4" s="754"/>
      <c r="O4" s="754"/>
      <c r="P4" s="754"/>
      <c r="Q4" s="754"/>
      <c r="R4" s="754"/>
      <c r="S4" s="754"/>
      <c r="T4" s="754"/>
      <c r="U4" s="754"/>
      <c r="V4" s="754"/>
      <c r="W4" s="719"/>
      <c r="AA4" s="700" t="s">
        <v>314</v>
      </c>
      <c r="AB4" s="701"/>
      <c r="AC4" s="701"/>
      <c r="AD4" s="701"/>
      <c r="AE4" s="701"/>
      <c r="AF4" s="570"/>
      <c r="AG4" s="570"/>
      <c r="AH4" s="570"/>
      <c r="AI4" s="570"/>
      <c r="AM4" s="603" t="s">
        <v>315</v>
      </c>
      <c r="AN4" s="603"/>
      <c r="AO4" s="603"/>
      <c r="AP4" s="603"/>
      <c r="AQ4" s="603"/>
      <c r="AR4" s="759"/>
      <c r="AS4" s="759"/>
      <c r="AT4" s="759"/>
      <c r="AU4" s="759"/>
      <c r="AV4" s="759"/>
      <c r="AW4" s="759"/>
      <c r="AX4" s="759"/>
      <c r="AY4" s="759"/>
      <c r="AZ4" s="759"/>
      <c r="BA4" s="759"/>
      <c r="BN4" s="3"/>
      <c r="BP4" s="337" t="s">
        <v>316</v>
      </c>
      <c r="BQ4" s="4" t="s">
        <v>317</v>
      </c>
      <c r="BR4" s="5" t="s">
        <v>318</v>
      </c>
      <c r="BS4" s="5" t="s">
        <v>319</v>
      </c>
      <c r="BT4" s="5" t="s">
        <v>320</v>
      </c>
      <c r="BU4" s="5" t="s">
        <v>321</v>
      </c>
      <c r="BV4" s="5" t="s">
        <v>322</v>
      </c>
      <c r="BW4" s="5" t="s">
        <v>155</v>
      </c>
      <c r="BX4" s="5" t="s">
        <v>323</v>
      </c>
      <c r="BY4" s="6"/>
      <c r="BZ4" s="6" t="s">
        <v>318</v>
      </c>
      <c r="CA4" s="528">
        <v>0</v>
      </c>
      <c r="CB4" s="529"/>
      <c r="CC4" s="527">
        <v>0</v>
      </c>
      <c r="CD4" s="527">
        <v>0</v>
      </c>
      <c r="CE4" s="527">
        <v>0</v>
      </c>
      <c r="CF4" s="527" t="s">
        <v>823</v>
      </c>
      <c r="CG4" s="527"/>
      <c r="CH4" s="527"/>
    </row>
    <row r="5" spans="3:86" ht="18" customHeight="1">
      <c r="C5" s="729" t="s">
        <v>152</v>
      </c>
      <c r="D5" s="730"/>
      <c r="E5" s="730"/>
      <c r="F5" s="730"/>
      <c r="G5" s="731"/>
      <c r="H5" s="749"/>
      <c r="I5" s="750"/>
      <c r="J5" s="750"/>
      <c r="K5" s="750"/>
      <c r="L5" s="750"/>
      <c r="M5" s="750"/>
      <c r="N5" s="750"/>
      <c r="O5" s="750"/>
      <c r="P5" s="750"/>
      <c r="Q5" s="750"/>
      <c r="R5" s="750"/>
      <c r="S5" s="750"/>
      <c r="T5" s="750"/>
      <c r="U5" s="750"/>
      <c r="V5" s="750"/>
      <c r="W5" s="750"/>
      <c r="AM5" s="759" t="s">
        <v>4</v>
      </c>
      <c r="AN5" s="759"/>
      <c r="AO5" s="759"/>
      <c r="AP5" s="759"/>
      <c r="AQ5" s="759"/>
      <c r="AR5" s="759"/>
      <c r="AS5" s="759"/>
      <c r="AT5" s="759"/>
      <c r="AU5" s="759"/>
      <c r="AV5" s="759"/>
      <c r="AW5" s="759"/>
      <c r="AX5" s="759"/>
      <c r="AY5" s="759"/>
      <c r="AZ5" s="759"/>
      <c r="BA5" s="759"/>
      <c r="BN5" s="3"/>
      <c r="BO5" s="3"/>
      <c r="BP5" s="3"/>
      <c r="BQ5" s="7" t="s">
        <v>569</v>
      </c>
      <c r="BR5" s="1">
        <v>5</v>
      </c>
      <c r="BS5" s="1" t="s">
        <v>560</v>
      </c>
      <c r="BT5" s="1" t="s">
        <v>325</v>
      </c>
      <c r="BU5" s="1" t="s">
        <v>585</v>
      </c>
      <c r="BV5" s="1">
        <f>IF(AY38=0,0,AY38+AZ$35)</f>
        <v>5</v>
      </c>
      <c r="BW5" s="1">
        <v>1</v>
      </c>
      <c r="BX5" s="1">
        <v>10</v>
      </c>
      <c r="BY5" s="7" t="s">
        <v>569</v>
      </c>
      <c r="BZ5" s="8">
        <f>1/8</f>
        <v>0.125</v>
      </c>
      <c r="CA5" s="527">
        <v>1300</v>
      </c>
      <c r="CB5" s="530"/>
      <c r="CC5" s="527">
        <v>3000</v>
      </c>
      <c r="CD5" s="527">
        <v>2000</v>
      </c>
      <c r="CE5" s="527">
        <v>1300</v>
      </c>
      <c r="CF5" s="527">
        <v>-8</v>
      </c>
      <c r="CG5" s="527"/>
      <c r="CH5" s="527"/>
    </row>
    <row r="6" spans="3:86" ht="18" customHeight="1">
      <c r="C6" s="721" t="s">
        <v>150</v>
      </c>
      <c r="D6" s="722"/>
      <c r="E6" s="722"/>
      <c r="F6" s="722"/>
      <c r="G6" s="723"/>
      <c r="H6" s="719"/>
      <c r="I6" s="720"/>
      <c r="J6" s="720"/>
      <c r="K6" s="720"/>
      <c r="L6" s="720"/>
      <c r="M6" s="720"/>
      <c r="N6" s="720"/>
      <c r="O6" s="720"/>
      <c r="P6" s="720"/>
      <c r="Q6" s="720"/>
      <c r="R6" s="720"/>
      <c r="S6" s="720"/>
      <c r="T6" s="720"/>
      <c r="U6" s="720"/>
      <c r="V6" s="720"/>
      <c r="W6" s="720"/>
      <c r="Z6" s="729" t="s">
        <v>327</v>
      </c>
      <c r="AA6" s="730"/>
      <c r="AB6" s="730"/>
      <c r="AC6" s="730"/>
      <c r="AD6" s="731"/>
      <c r="AE6" s="718"/>
      <c r="AF6" s="718"/>
      <c r="AG6" s="718"/>
      <c r="AH6" s="718"/>
      <c r="AI6" s="718"/>
      <c r="AJ6" s="718"/>
      <c r="AM6" s="759"/>
      <c r="AN6" s="759"/>
      <c r="AO6" s="759"/>
      <c r="AP6" s="759"/>
      <c r="AQ6" s="759"/>
      <c r="AR6" s="759"/>
      <c r="AS6" s="759"/>
      <c r="AT6" s="759"/>
      <c r="AU6" s="759"/>
      <c r="AV6" s="759"/>
      <c r="AW6" s="759"/>
      <c r="AX6" s="759"/>
      <c r="AY6" s="759"/>
      <c r="AZ6" s="759"/>
      <c r="BA6" s="759"/>
      <c r="BN6" s="3"/>
      <c r="BO6" s="3"/>
      <c r="BP6" s="3"/>
      <c r="BQ6" s="7" t="s">
        <v>570</v>
      </c>
      <c r="BR6" s="1" t="s">
        <v>328</v>
      </c>
      <c r="BS6" s="1" t="s">
        <v>561</v>
      </c>
      <c r="BT6" s="1" t="s">
        <v>329</v>
      </c>
      <c r="BU6" s="1" t="s">
        <v>586</v>
      </c>
      <c r="BV6" s="1">
        <f>IF(AY39=0,0,AY39+AZ$35)</f>
        <v>5</v>
      </c>
      <c r="BW6" s="1">
        <v>2</v>
      </c>
      <c r="BX6" s="1">
        <v>20</v>
      </c>
      <c r="BY6" s="7" t="s">
        <v>570</v>
      </c>
      <c r="BZ6" s="8">
        <f>1/4</f>
        <v>0.25</v>
      </c>
      <c r="CA6" s="527">
        <v>3300</v>
      </c>
      <c r="CB6" s="530"/>
      <c r="CC6" s="527">
        <v>7500</v>
      </c>
      <c r="CD6" s="527">
        <v>5000</v>
      </c>
      <c r="CE6" s="527">
        <v>3300</v>
      </c>
      <c r="CF6" s="527">
        <v>-4</v>
      </c>
      <c r="CG6" s="527"/>
      <c r="CH6" s="527"/>
    </row>
    <row r="7" spans="3:86" ht="18" customHeight="1">
      <c r="C7" s="700" t="s">
        <v>324</v>
      </c>
      <c r="D7" s="701"/>
      <c r="E7" s="701"/>
      <c r="F7" s="701"/>
      <c r="G7" s="702"/>
      <c r="H7" s="719"/>
      <c r="I7" s="720"/>
      <c r="J7" s="720"/>
      <c r="K7" s="720"/>
      <c r="L7" s="720"/>
      <c r="M7" s="720"/>
      <c r="N7" s="720"/>
      <c r="O7" s="720"/>
      <c r="P7" s="720"/>
      <c r="Q7" s="720"/>
      <c r="R7" s="720"/>
      <c r="S7" s="720"/>
      <c r="T7" s="720"/>
      <c r="U7" s="720"/>
      <c r="V7" s="720"/>
      <c r="W7" s="720"/>
      <c r="Z7" s="721" t="s">
        <v>331</v>
      </c>
      <c r="AA7" s="722"/>
      <c r="AB7" s="722"/>
      <c r="AC7" s="722"/>
      <c r="AD7" s="723"/>
      <c r="AE7" s="718"/>
      <c r="AF7" s="718"/>
      <c r="AG7" s="718"/>
      <c r="AH7" s="718"/>
      <c r="AI7" s="718"/>
      <c r="AJ7" s="718"/>
      <c r="AM7" s="759"/>
      <c r="AN7" s="759"/>
      <c r="AO7" s="759"/>
      <c r="AP7" s="759"/>
      <c r="AQ7" s="759"/>
      <c r="AR7" s="759"/>
      <c r="AS7" s="759"/>
      <c r="AT7" s="759"/>
      <c r="AU7" s="759"/>
      <c r="AV7" s="759"/>
      <c r="AW7" s="759"/>
      <c r="AX7" s="759"/>
      <c r="AY7" s="759"/>
      <c r="AZ7" s="759"/>
      <c r="BA7" s="759"/>
      <c r="BN7" s="3"/>
      <c r="BO7" s="3"/>
      <c r="BP7" s="3"/>
      <c r="BQ7" s="7" t="s">
        <v>571</v>
      </c>
      <c r="BR7" s="1">
        <f>INT(2^(ABS(BR5-5)-1))*IF(BR5-5&lt;0,1,-1)</f>
        <v>0</v>
      </c>
      <c r="BS7" s="1" t="s">
        <v>562</v>
      </c>
      <c r="BT7" s="1" t="s">
        <v>332</v>
      </c>
      <c r="BU7" s="1" t="s">
        <v>587</v>
      </c>
      <c r="BV7" s="1">
        <f aca="true" t="shared" si="0" ref="BV7:BV24">IF(AY40=0,0,AY40+AZ$35)</f>
        <v>5</v>
      </c>
      <c r="BW7" s="1">
        <v>3</v>
      </c>
      <c r="BX7" s="1">
        <v>30</v>
      </c>
      <c r="BY7" s="7" t="s">
        <v>571</v>
      </c>
      <c r="BZ7" s="8">
        <f>1/2</f>
        <v>0.5</v>
      </c>
      <c r="CA7" s="527">
        <v>6000</v>
      </c>
      <c r="CB7" s="530"/>
      <c r="CC7" s="527">
        <v>14000</v>
      </c>
      <c r="CD7" s="527">
        <v>9000</v>
      </c>
      <c r="CE7" s="527">
        <v>6000</v>
      </c>
      <c r="CF7" s="527">
        <v>-2</v>
      </c>
      <c r="CG7" s="527"/>
      <c r="CH7" s="527"/>
    </row>
    <row r="8" spans="3:86" ht="18" customHeight="1">
      <c r="C8" s="721" t="s">
        <v>326</v>
      </c>
      <c r="D8" s="722"/>
      <c r="E8" s="722"/>
      <c r="F8" s="722"/>
      <c r="G8" s="723"/>
      <c r="H8" s="736"/>
      <c r="I8" s="736"/>
      <c r="J8" s="736"/>
      <c r="K8" s="736"/>
      <c r="L8" s="736"/>
      <c r="M8" s="736"/>
      <c r="N8" s="736"/>
      <c r="O8" s="736"/>
      <c r="P8" s="736"/>
      <c r="Q8" s="736"/>
      <c r="R8" s="736"/>
      <c r="S8" s="736"/>
      <c r="T8" s="736"/>
      <c r="U8" s="736"/>
      <c r="V8" s="736"/>
      <c r="W8" s="737"/>
      <c r="Z8" s="721" t="s">
        <v>334</v>
      </c>
      <c r="AA8" s="722"/>
      <c r="AB8" s="722"/>
      <c r="AC8" s="722"/>
      <c r="AD8" s="723"/>
      <c r="AE8" s="718"/>
      <c r="AF8" s="718"/>
      <c r="AG8" s="718"/>
      <c r="AH8" s="718"/>
      <c r="AI8" s="718"/>
      <c r="AJ8" s="718"/>
      <c r="AM8" s="759"/>
      <c r="AN8" s="759"/>
      <c r="AO8" s="759"/>
      <c r="AP8" s="759"/>
      <c r="AQ8" s="759"/>
      <c r="AR8" s="759"/>
      <c r="AS8" s="759"/>
      <c r="AT8" s="759"/>
      <c r="AU8" s="759"/>
      <c r="AV8" s="759"/>
      <c r="AW8" s="759"/>
      <c r="AX8" s="759"/>
      <c r="AY8" s="759"/>
      <c r="AZ8" s="759"/>
      <c r="BA8" s="759"/>
      <c r="BN8" s="3"/>
      <c r="BO8" s="3"/>
      <c r="BP8" s="3"/>
      <c r="BQ8" s="7" t="s">
        <v>572</v>
      </c>
      <c r="BR8" s="2" t="s">
        <v>335</v>
      </c>
      <c r="BS8" s="1" t="s">
        <v>563</v>
      </c>
      <c r="BT8" s="1" t="s">
        <v>336</v>
      </c>
      <c r="BU8" s="1" t="s">
        <v>579</v>
      </c>
      <c r="BV8" s="1">
        <f t="shared" si="0"/>
        <v>5</v>
      </c>
      <c r="BW8" s="1">
        <v>4</v>
      </c>
      <c r="BX8" s="1">
        <v>40</v>
      </c>
      <c r="BY8" s="7" t="s">
        <v>572</v>
      </c>
      <c r="BZ8" s="8">
        <f>3/4</f>
        <v>0.75</v>
      </c>
      <c r="CA8" s="527">
        <v>10000</v>
      </c>
      <c r="CB8" s="530"/>
      <c r="CC8" s="527">
        <v>23000</v>
      </c>
      <c r="CD8" s="527">
        <v>15000</v>
      </c>
      <c r="CE8" s="527">
        <v>10000</v>
      </c>
      <c r="CF8" s="527">
        <v>-1</v>
      </c>
      <c r="CG8" s="527"/>
      <c r="CH8" s="527"/>
    </row>
    <row r="9" spans="3:86" ht="18" customHeight="1">
      <c r="C9" s="729" t="s">
        <v>330</v>
      </c>
      <c r="D9" s="730"/>
      <c r="E9" s="730"/>
      <c r="F9" s="730"/>
      <c r="G9" s="731"/>
      <c r="H9" s="719"/>
      <c r="I9" s="720"/>
      <c r="J9" s="720"/>
      <c r="K9" s="720"/>
      <c r="L9" s="720"/>
      <c r="M9" s="720"/>
      <c r="N9" s="720"/>
      <c r="O9" s="720"/>
      <c r="P9" s="720"/>
      <c r="Q9" s="720"/>
      <c r="R9" s="720"/>
      <c r="S9" s="720"/>
      <c r="T9" s="720"/>
      <c r="U9" s="720"/>
      <c r="V9" s="720"/>
      <c r="W9" s="720"/>
      <c r="Z9" s="700" t="s">
        <v>338</v>
      </c>
      <c r="AA9" s="701"/>
      <c r="AB9" s="701"/>
      <c r="AC9" s="701"/>
      <c r="AD9" s="702"/>
      <c r="AE9" s="718"/>
      <c r="AF9" s="718"/>
      <c r="AG9" s="718"/>
      <c r="AH9" s="718"/>
      <c r="AI9" s="718"/>
      <c r="AJ9" s="718"/>
      <c r="AM9" s="759"/>
      <c r="AN9" s="759"/>
      <c r="AO9" s="759"/>
      <c r="AP9" s="759"/>
      <c r="AQ9" s="759"/>
      <c r="AR9" s="759"/>
      <c r="AS9" s="759"/>
      <c r="AT9" s="759"/>
      <c r="AU9" s="759"/>
      <c r="AV9" s="759"/>
      <c r="AW9" s="759"/>
      <c r="AX9" s="759"/>
      <c r="AY9" s="759"/>
      <c r="AZ9" s="759"/>
      <c r="BA9" s="759"/>
      <c r="BN9" s="3"/>
      <c r="BO9" s="3"/>
      <c r="BP9" s="3"/>
      <c r="BQ9" s="7" t="s">
        <v>573</v>
      </c>
      <c r="BR9" s="8">
        <f>BR7*-4</f>
        <v>0</v>
      </c>
      <c r="BS9" s="1" t="s">
        <v>564</v>
      </c>
      <c r="BT9" s="1" t="s">
        <v>339</v>
      </c>
      <c r="BU9" s="1" t="s">
        <v>580</v>
      </c>
      <c r="BV9" s="1">
        <f t="shared" si="0"/>
        <v>5</v>
      </c>
      <c r="BW9" s="1">
        <v>5</v>
      </c>
      <c r="BX9" s="1">
        <v>50</v>
      </c>
      <c r="BY9" s="7" t="s">
        <v>573</v>
      </c>
      <c r="BZ9" s="8">
        <v>1</v>
      </c>
      <c r="CA9" s="527">
        <v>15000</v>
      </c>
      <c r="CB9" s="530"/>
      <c r="CC9" s="527">
        <v>35000</v>
      </c>
      <c r="CD9" s="527">
        <v>23000</v>
      </c>
      <c r="CE9" s="527">
        <v>15000</v>
      </c>
      <c r="CF9" s="527">
        <v>0</v>
      </c>
      <c r="CG9" s="527"/>
      <c r="CH9" s="527"/>
    </row>
    <row r="10" spans="3:86" ht="18" customHeight="1">
      <c r="C10" s="700" t="s">
        <v>333</v>
      </c>
      <c r="D10" s="701"/>
      <c r="E10" s="701"/>
      <c r="F10" s="701"/>
      <c r="G10" s="702"/>
      <c r="H10" s="719"/>
      <c r="I10" s="720"/>
      <c r="J10" s="720"/>
      <c r="K10" s="720"/>
      <c r="L10" s="720"/>
      <c r="M10" s="720"/>
      <c r="N10" s="720"/>
      <c r="O10" s="720"/>
      <c r="P10" s="720"/>
      <c r="Q10" s="720"/>
      <c r="R10" s="720"/>
      <c r="S10" s="720"/>
      <c r="T10" s="720"/>
      <c r="U10" s="720"/>
      <c r="V10" s="720"/>
      <c r="W10" s="720"/>
      <c r="BN10" s="3"/>
      <c r="BO10" s="3"/>
      <c r="BP10" s="3"/>
      <c r="BQ10" s="7" t="s">
        <v>574</v>
      </c>
      <c r="BR10" s="8" t="s">
        <v>154</v>
      </c>
      <c r="BS10" s="1" t="s">
        <v>565</v>
      </c>
      <c r="BT10" s="1">
        <v>3</v>
      </c>
      <c r="BU10" s="1" t="s">
        <v>581</v>
      </c>
      <c r="BV10" s="1">
        <f t="shared" si="0"/>
        <v>5</v>
      </c>
      <c r="BW10" s="1">
        <v>6</v>
      </c>
      <c r="BX10" s="1">
        <v>60</v>
      </c>
      <c r="BY10" s="7" t="s">
        <v>574</v>
      </c>
      <c r="BZ10" s="8">
        <v>2</v>
      </c>
      <c r="CA10" s="527">
        <v>23000</v>
      </c>
      <c r="CB10" s="530"/>
      <c r="CC10" s="527">
        <v>53000</v>
      </c>
      <c r="CD10" s="527">
        <v>35000</v>
      </c>
      <c r="CE10" s="527">
        <v>23000</v>
      </c>
      <c r="CF10" s="527">
        <v>1</v>
      </c>
      <c r="CG10" s="527"/>
      <c r="CH10" s="527"/>
    </row>
    <row r="11" spans="3:86" ht="18" customHeight="1">
      <c r="C11" s="700" t="s">
        <v>337</v>
      </c>
      <c r="D11" s="701"/>
      <c r="E11" s="701"/>
      <c r="F11" s="701"/>
      <c r="G11" s="702"/>
      <c r="H11" s="736"/>
      <c r="I11" s="736"/>
      <c r="J11" s="736"/>
      <c r="K11" s="736"/>
      <c r="L11" s="736"/>
      <c r="M11" s="736"/>
      <c r="N11" s="736"/>
      <c r="O11" s="736"/>
      <c r="P11" s="736"/>
      <c r="Q11" s="736"/>
      <c r="R11" s="736"/>
      <c r="S11" s="736"/>
      <c r="T11" s="736"/>
      <c r="U11" s="736"/>
      <c r="V11" s="736"/>
      <c r="W11" s="737"/>
      <c r="AA11" s="744" t="s">
        <v>342</v>
      </c>
      <c r="AB11" s="745"/>
      <c r="AC11" s="745"/>
      <c r="AD11" s="746"/>
      <c r="AE11" s="757">
        <v>5</v>
      </c>
      <c r="AF11" s="757"/>
      <c r="AG11" s="757"/>
      <c r="AH11" s="757"/>
      <c r="AI11" s="757"/>
      <c r="AJ11" s="758"/>
      <c r="AN11" s="729" t="s">
        <v>343</v>
      </c>
      <c r="AO11" s="730"/>
      <c r="AP11" s="730"/>
      <c r="AQ11" s="730"/>
      <c r="AR11" s="731"/>
      <c r="AS11" s="812">
        <v>45</v>
      </c>
      <c r="AT11" s="812"/>
      <c r="AU11" s="813"/>
      <c r="AV11" s="951" t="s">
        <v>514</v>
      </c>
      <c r="AW11" s="952"/>
      <c r="AX11" s="952"/>
      <c r="AY11" s="953"/>
      <c r="AZ11" s="611"/>
      <c r="BA11" s="811"/>
      <c r="BB11" s="612"/>
      <c r="BC11" s="951" t="s">
        <v>515</v>
      </c>
      <c r="BD11" s="952"/>
      <c r="BE11" s="952"/>
      <c r="BF11" s="953"/>
      <c r="BG11" s="611"/>
      <c r="BH11" s="811"/>
      <c r="BI11" s="612"/>
      <c r="BN11" s="3"/>
      <c r="BO11" s="3"/>
      <c r="BP11" s="3"/>
      <c r="BQ11" s="7" t="s">
        <v>575</v>
      </c>
      <c r="BR11" s="8" t="b">
        <v>0</v>
      </c>
      <c r="BS11" s="1" t="s">
        <v>567</v>
      </c>
      <c r="BT11" s="1"/>
      <c r="BU11" s="1" t="s">
        <v>582</v>
      </c>
      <c r="BV11" s="1">
        <f t="shared" si="0"/>
        <v>5</v>
      </c>
      <c r="BW11" s="1">
        <v>7</v>
      </c>
      <c r="BX11" s="1">
        <v>70</v>
      </c>
      <c r="BY11" s="7" t="s">
        <v>575</v>
      </c>
      <c r="BZ11" s="8">
        <v>4</v>
      </c>
      <c r="CA11" s="527">
        <v>34000</v>
      </c>
      <c r="CB11" s="530"/>
      <c r="CC11" s="527">
        <v>77000</v>
      </c>
      <c r="CD11" s="527">
        <v>51000</v>
      </c>
      <c r="CE11" s="527">
        <v>34000</v>
      </c>
      <c r="CF11" s="527">
        <v>2</v>
      </c>
      <c r="CG11" s="527"/>
      <c r="CH11" s="527"/>
    </row>
    <row r="12" spans="3:86" ht="18" customHeight="1">
      <c r="C12" s="721" t="s">
        <v>319</v>
      </c>
      <c r="D12" s="722"/>
      <c r="E12" s="722"/>
      <c r="F12" s="722"/>
      <c r="G12" s="723"/>
      <c r="H12" s="757">
        <v>5</v>
      </c>
      <c r="I12" s="757"/>
      <c r="J12" s="757"/>
      <c r="K12" s="757"/>
      <c r="L12" s="757"/>
      <c r="M12" s="757"/>
      <c r="N12" s="757"/>
      <c r="O12" s="757"/>
      <c r="P12" s="757"/>
      <c r="Q12" s="757"/>
      <c r="R12" s="757"/>
      <c r="S12" s="757"/>
      <c r="T12" s="757"/>
      <c r="U12" s="757"/>
      <c r="V12" s="757"/>
      <c r="W12" s="758"/>
      <c r="AA12" s="741" t="s">
        <v>344</v>
      </c>
      <c r="AB12" s="742"/>
      <c r="AC12" s="742"/>
      <c r="AD12" s="743"/>
      <c r="AE12" s="626">
        <v>5</v>
      </c>
      <c r="AF12" s="626"/>
      <c r="AG12" s="626"/>
      <c r="AH12" s="626"/>
      <c r="AI12" s="626"/>
      <c r="AJ12" s="627"/>
      <c r="AL12" s="3"/>
      <c r="AN12" s="721" t="s">
        <v>345</v>
      </c>
      <c r="AO12" s="722"/>
      <c r="AP12" s="722"/>
      <c r="AQ12" s="722"/>
      <c r="AR12" s="723"/>
      <c r="AS12" s="636">
        <f>IF(BT13=2,AS11,CEILING(AS11*2/3,5))</f>
        <v>30</v>
      </c>
      <c r="AT12" s="637"/>
      <c r="AU12" s="638"/>
      <c r="AX12" s="8"/>
      <c r="AY12" s="8"/>
      <c r="BQ12" s="7" t="s">
        <v>576</v>
      </c>
      <c r="BR12" s="8">
        <f>IF(BR11=TRUE,4,0)</f>
        <v>0</v>
      </c>
      <c r="BS12" s="1" t="s">
        <v>566</v>
      </c>
      <c r="BT12" s="1" t="s">
        <v>346</v>
      </c>
      <c r="BU12" s="1" t="s">
        <v>583</v>
      </c>
      <c r="BV12" s="1">
        <f t="shared" si="0"/>
        <v>5</v>
      </c>
      <c r="BW12" s="1">
        <v>8</v>
      </c>
      <c r="BX12" s="1">
        <v>80</v>
      </c>
      <c r="BY12" s="7" t="s">
        <v>576</v>
      </c>
      <c r="BZ12" s="8">
        <v>8</v>
      </c>
      <c r="CA12" s="527">
        <v>50000</v>
      </c>
      <c r="CB12" s="530"/>
      <c r="CC12" s="527">
        <v>115000</v>
      </c>
      <c r="CD12" s="527">
        <v>75000</v>
      </c>
      <c r="CE12" s="527">
        <v>50000</v>
      </c>
      <c r="CF12" s="527">
        <v>4</v>
      </c>
      <c r="CG12" s="527"/>
      <c r="CH12" s="527"/>
    </row>
    <row r="13" spans="3:86" ht="18" customHeight="1">
      <c r="C13" s="707" t="s">
        <v>341</v>
      </c>
      <c r="D13" s="708"/>
      <c r="E13" s="708"/>
      <c r="F13" s="708"/>
      <c r="G13" s="709"/>
      <c r="H13" s="726"/>
      <c r="I13" s="726"/>
      <c r="J13" s="726"/>
      <c r="K13" s="726"/>
      <c r="L13" s="726"/>
      <c r="M13" s="726"/>
      <c r="N13" s="726"/>
      <c r="O13" s="726"/>
      <c r="P13" s="726"/>
      <c r="Q13" s="726"/>
      <c r="R13" s="726"/>
      <c r="S13" s="726"/>
      <c r="T13" s="726"/>
      <c r="U13" s="726"/>
      <c r="V13" s="726"/>
      <c r="W13" s="727"/>
      <c r="AA13" s="821" t="s">
        <v>154</v>
      </c>
      <c r="AB13" s="821"/>
      <c r="AC13" s="821"/>
      <c r="AD13" s="821"/>
      <c r="AE13" s="564"/>
      <c r="AF13" s="564"/>
      <c r="AG13" s="777" t="s">
        <v>340</v>
      </c>
      <c r="AH13" s="777"/>
      <c r="AI13" s="777"/>
      <c r="AJ13" s="777"/>
      <c r="AK13" s="564"/>
      <c r="AL13" s="564"/>
      <c r="AN13" s="721" t="s">
        <v>347</v>
      </c>
      <c r="AO13" s="722"/>
      <c r="AP13" s="722"/>
      <c r="AQ13" s="722"/>
      <c r="AR13" s="723"/>
      <c r="AS13" s="611"/>
      <c r="AT13" s="811"/>
      <c r="AU13" s="612"/>
      <c r="AX13" s="8"/>
      <c r="AY13" s="8"/>
      <c r="BQ13" s="7" t="s">
        <v>577</v>
      </c>
      <c r="BR13" s="1" t="s">
        <v>340</v>
      </c>
      <c r="BS13" s="1" t="s">
        <v>568</v>
      </c>
      <c r="BT13" s="1">
        <v>1</v>
      </c>
      <c r="BU13" s="1" t="s">
        <v>584</v>
      </c>
      <c r="BV13" s="1">
        <f t="shared" si="0"/>
        <v>5</v>
      </c>
      <c r="BW13" s="1">
        <v>9</v>
      </c>
      <c r="BX13" s="1">
        <v>90</v>
      </c>
      <c r="BY13" s="7" t="s">
        <v>577</v>
      </c>
      <c r="BZ13" s="8">
        <v>16</v>
      </c>
      <c r="CA13" s="527">
        <v>71000</v>
      </c>
      <c r="CB13" s="530"/>
      <c r="CC13" s="527">
        <v>160000</v>
      </c>
      <c r="CD13" s="527">
        <v>105000</v>
      </c>
      <c r="CE13" s="527">
        <v>71000</v>
      </c>
      <c r="CF13" s="527">
        <v>8</v>
      </c>
      <c r="CG13" s="527"/>
      <c r="CH13" s="527"/>
    </row>
    <row r="14" spans="27:86" ht="18" customHeight="1" thickBot="1">
      <c r="AA14" s="817" t="s">
        <v>349</v>
      </c>
      <c r="AB14" s="818"/>
      <c r="AC14" s="818"/>
      <c r="AD14" s="819"/>
      <c r="AE14" s="842">
        <f>IF(BR5&lt;4,0,IF(BR5=6,10,IF(BR5=7,15,IF(BR5=8,20,IF(BR5=9,30&amp;"'以上",5)))))</f>
        <v>5</v>
      </c>
      <c r="AF14" s="843"/>
      <c r="AG14" s="843"/>
      <c r="AH14" s="843"/>
      <c r="AI14" s="843"/>
      <c r="AJ14" s="844"/>
      <c r="AK14" s="336"/>
      <c r="AL14" s="336"/>
      <c r="AN14" s="721" t="s">
        <v>350</v>
      </c>
      <c r="AO14" s="722"/>
      <c r="AP14" s="722"/>
      <c r="AQ14" s="722"/>
      <c r="AR14" s="723"/>
      <c r="AS14" s="570"/>
      <c r="AT14" s="612"/>
      <c r="AU14" s="612"/>
      <c r="AX14" s="8"/>
      <c r="AY14" s="8"/>
      <c r="BQ14" s="7" t="s">
        <v>351</v>
      </c>
      <c r="BR14" s="1" t="b">
        <v>0</v>
      </c>
      <c r="BS14" s="1"/>
      <c r="BT14" s="1"/>
      <c r="BU14" s="1" t="s">
        <v>588</v>
      </c>
      <c r="BV14" s="1">
        <f t="shared" si="0"/>
        <v>5</v>
      </c>
      <c r="BW14" s="1">
        <v>10</v>
      </c>
      <c r="BX14" s="1">
        <v>100</v>
      </c>
      <c r="BY14" s="7" t="s">
        <v>591</v>
      </c>
      <c r="BZ14" s="8">
        <f>1/4</f>
        <v>0.25</v>
      </c>
      <c r="CA14" s="527">
        <v>105000</v>
      </c>
      <c r="CB14" s="530"/>
      <c r="CC14" s="527">
        <v>235000</v>
      </c>
      <c r="CD14" s="527">
        <v>155000</v>
      </c>
      <c r="CE14" s="527">
        <v>105000</v>
      </c>
      <c r="CF14" s="527"/>
      <c r="CG14" s="527"/>
      <c r="CH14" s="527"/>
    </row>
    <row r="15" spans="3:86" ht="18" customHeight="1" thickBot="1">
      <c r="C15" s="732" t="s">
        <v>348</v>
      </c>
      <c r="D15" s="733"/>
      <c r="E15" s="733"/>
      <c r="F15" s="733"/>
      <c r="G15" s="733"/>
      <c r="H15" s="734">
        <v>32</v>
      </c>
      <c r="I15" s="735"/>
      <c r="AA15" s="738" t="s">
        <v>352</v>
      </c>
      <c r="AB15" s="739"/>
      <c r="AC15" s="739"/>
      <c r="AD15" s="740"/>
      <c r="AE15" s="586">
        <f>SUM('能力'!L19,'能力'!AG15:AI15)</f>
        <v>0</v>
      </c>
      <c r="AF15" s="820"/>
      <c r="AG15" s="728"/>
      <c r="AH15" s="728"/>
      <c r="AI15" s="728"/>
      <c r="AJ15" s="728"/>
      <c r="AN15" s="721" t="s">
        <v>353</v>
      </c>
      <c r="AO15" s="722"/>
      <c r="AP15" s="722"/>
      <c r="AQ15" s="722"/>
      <c r="AR15" s="723"/>
      <c r="AS15" s="570"/>
      <c r="AT15" s="612"/>
      <c r="AU15" s="612"/>
      <c r="AX15" s="8"/>
      <c r="AY15" s="8"/>
      <c r="BQ15" s="335"/>
      <c r="BR15" s="1">
        <f>IF(BR14=TRUE,IF(BR9=0,IF(BR5=5,4),0),0)</f>
        <v>0</v>
      </c>
      <c r="BS15" s="1"/>
      <c r="BT15" s="1"/>
      <c r="BU15" s="1" t="s">
        <v>589</v>
      </c>
      <c r="BV15" s="1">
        <f t="shared" si="0"/>
        <v>5</v>
      </c>
      <c r="BW15" s="1">
        <v>11</v>
      </c>
      <c r="BX15" s="1">
        <v>115</v>
      </c>
      <c r="BY15" s="7" t="s">
        <v>592</v>
      </c>
      <c r="BZ15" s="8">
        <f>1/2</f>
        <v>0.5</v>
      </c>
      <c r="CA15" s="527">
        <v>145000</v>
      </c>
      <c r="CB15" s="530"/>
      <c r="CC15" s="527">
        <v>330000</v>
      </c>
      <c r="CD15" s="527">
        <v>22000</v>
      </c>
      <c r="CE15" s="527">
        <v>145000</v>
      </c>
      <c r="CF15" s="527"/>
      <c r="CG15" s="527"/>
      <c r="CH15" s="527"/>
    </row>
    <row r="16" spans="9:86" ht="18" customHeight="1">
      <c r="I16" s="686" t="s">
        <v>354</v>
      </c>
      <c r="J16" s="686"/>
      <c r="K16" s="686"/>
      <c r="L16" s="687" t="s">
        <v>355</v>
      </c>
      <c r="M16" s="687"/>
      <c r="N16" s="596" t="s">
        <v>356</v>
      </c>
      <c r="O16" s="596"/>
      <c r="P16" s="724" t="s">
        <v>357</v>
      </c>
      <c r="Q16" s="596"/>
      <c r="R16" s="686" t="s">
        <v>358</v>
      </c>
      <c r="S16" s="686"/>
      <c r="T16" s="596" t="s">
        <v>359</v>
      </c>
      <c r="U16" s="596"/>
      <c r="V16" s="596" t="s">
        <v>360</v>
      </c>
      <c r="W16" s="596"/>
      <c r="X16" s="596" t="s">
        <v>313</v>
      </c>
      <c r="Y16" s="596"/>
      <c r="Z16" s="686" t="s">
        <v>361</v>
      </c>
      <c r="AA16" s="686"/>
      <c r="AB16" s="686"/>
      <c r="AD16" s="686" t="s">
        <v>362</v>
      </c>
      <c r="AE16" s="686"/>
      <c r="AF16" s="8"/>
      <c r="AN16" s="700" t="s">
        <v>363</v>
      </c>
      <c r="AO16" s="701"/>
      <c r="AP16" s="701"/>
      <c r="AQ16" s="701"/>
      <c r="AR16" s="702"/>
      <c r="AS16" s="611"/>
      <c r="AT16" s="811"/>
      <c r="AU16" s="612"/>
      <c r="AX16" s="8"/>
      <c r="AY16" s="8"/>
      <c r="BQ16" s="335"/>
      <c r="BR16" s="8" t="s">
        <v>364</v>
      </c>
      <c r="BS16" s="8"/>
      <c r="BT16" s="1"/>
      <c r="BU16" s="1" t="s">
        <v>590</v>
      </c>
      <c r="BV16" s="1">
        <f t="shared" si="0"/>
        <v>0</v>
      </c>
      <c r="BW16" s="1">
        <v>12</v>
      </c>
      <c r="BX16" s="1">
        <v>130</v>
      </c>
      <c r="BY16" s="7" t="s">
        <v>593</v>
      </c>
      <c r="BZ16" s="8">
        <f>3/4</f>
        <v>0.75</v>
      </c>
      <c r="CA16" s="527">
        <v>210000</v>
      </c>
      <c r="CB16" s="530"/>
      <c r="CC16" s="527">
        <v>475000</v>
      </c>
      <c r="CD16" s="527">
        <v>315000</v>
      </c>
      <c r="CE16" s="527">
        <v>210000</v>
      </c>
      <c r="CF16" s="527"/>
      <c r="CG16" s="527"/>
      <c r="CH16" s="527"/>
    </row>
    <row r="17" spans="9:86" ht="6.75" customHeight="1" thickBot="1">
      <c r="I17" s="686"/>
      <c r="J17" s="686"/>
      <c r="K17" s="686"/>
      <c r="L17" s="687"/>
      <c r="M17" s="687"/>
      <c r="N17" s="705"/>
      <c r="O17" s="705"/>
      <c r="P17" s="705"/>
      <c r="Q17" s="705"/>
      <c r="R17" s="725"/>
      <c r="S17" s="725"/>
      <c r="T17" s="705"/>
      <c r="U17" s="705"/>
      <c r="V17" s="705"/>
      <c r="W17" s="705"/>
      <c r="X17" s="705"/>
      <c r="Y17" s="705"/>
      <c r="Z17" s="686"/>
      <c r="AA17" s="686"/>
      <c r="AB17" s="686"/>
      <c r="AD17" s="686"/>
      <c r="AE17" s="686"/>
      <c r="AF17" s="8"/>
      <c r="BQ17" s="335"/>
      <c r="BR17" s="1" t="s">
        <v>309</v>
      </c>
      <c r="BS17" s="1"/>
      <c r="BT17" s="1"/>
      <c r="BU17" s="1" t="s">
        <v>365</v>
      </c>
      <c r="BV17" s="1">
        <f t="shared" si="0"/>
        <v>0</v>
      </c>
      <c r="BW17" s="1">
        <v>13</v>
      </c>
      <c r="BX17" s="1">
        <v>150</v>
      </c>
      <c r="BY17" s="7" t="s">
        <v>594</v>
      </c>
      <c r="BZ17" s="8">
        <f>1</f>
        <v>1</v>
      </c>
      <c r="CA17" s="527">
        <v>295000</v>
      </c>
      <c r="CB17" s="530"/>
      <c r="CC17" s="527">
        <v>665000</v>
      </c>
      <c r="CD17" s="527">
        <v>445000</v>
      </c>
      <c r="CE17" s="527">
        <v>295000</v>
      </c>
      <c r="CF17" s="527"/>
      <c r="CG17" s="527"/>
      <c r="CH17" s="527"/>
    </row>
    <row r="18" spans="4:86" ht="18" customHeight="1">
      <c r="D18" s="10"/>
      <c r="E18" s="688" t="s">
        <v>366</v>
      </c>
      <c r="F18" s="689"/>
      <c r="G18" s="689"/>
      <c r="H18" s="689"/>
      <c r="I18" s="712">
        <f aca="true" t="shared" si="1" ref="I18:I23">SUM(N18:AB18)</f>
        <v>24</v>
      </c>
      <c r="J18" s="713"/>
      <c r="K18" s="714"/>
      <c r="L18" s="696">
        <f aca="true" t="shared" si="2" ref="L18:L23">INT((I18-10)/2)</f>
        <v>7</v>
      </c>
      <c r="M18" s="697"/>
      <c r="N18" s="706">
        <v>4</v>
      </c>
      <c r="O18" s="706"/>
      <c r="P18" s="717"/>
      <c r="Q18" s="717"/>
      <c r="R18" s="715">
        <f>COUNTIF($L$26:$Z$26,1)</f>
        <v>2</v>
      </c>
      <c r="S18" s="716"/>
      <c r="T18" s="717"/>
      <c r="U18" s="717"/>
      <c r="V18" s="717"/>
      <c r="W18" s="717"/>
      <c r="X18" s="717">
        <v>2</v>
      </c>
      <c r="Y18" s="717"/>
      <c r="Z18" s="837">
        <v>16</v>
      </c>
      <c r="AA18" s="838"/>
      <c r="AB18" s="839"/>
      <c r="AD18" s="822">
        <f aca="true" t="shared" si="3" ref="AD18:AD23">IF(Z18&lt;15,Z18-8,IF(Z18&lt;17,(Z18-14)*2+6,(Z18-16)*3+10))</f>
        <v>10</v>
      </c>
      <c r="AE18" s="823"/>
      <c r="AG18" s="586" t="s">
        <v>367</v>
      </c>
      <c r="AH18" s="587"/>
      <c r="AI18" s="592">
        <f>'能力'!H15-SUM('能力'!AD18:AD23)</f>
        <v>8</v>
      </c>
      <c r="AJ18" s="593"/>
      <c r="AM18" s="595" t="s">
        <v>368</v>
      </c>
      <c r="AN18" s="595"/>
      <c r="AO18" s="595"/>
      <c r="AP18" s="595"/>
      <c r="AQ18" s="595"/>
      <c r="AR18" s="595"/>
      <c r="AS18" s="595" t="s">
        <v>369</v>
      </c>
      <c r="AT18" s="595"/>
      <c r="AU18" s="595"/>
      <c r="BQ18" s="335"/>
      <c r="BR18" s="1" t="s">
        <v>351</v>
      </c>
      <c r="BS18" s="1"/>
      <c r="BT18" s="1"/>
      <c r="BU18" s="1"/>
      <c r="BV18" s="1">
        <f t="shared" si="0"/>
        <v>0</v>
      </c>
      <c r="BW18" s="1">
        <v>14</v>
      </c>
      <c r="BX18" s="1">
        <v>175</v>
      </c>
      <c r="BY18" s="7" t="s">
        <v>595</v>
      </c>
      <c r="BZ18" s="8">
        <v>1.5</v>
      </c>
      <c r="CA18" s="527">
        <v>425000</v>
      </c>
      <c r="CB18" s="530"/>
      <c r="CC18" s="527">
        <v>955000</v>
      </c>
      <c r="CD18" s="527">
        <v>635000</v>
      </c>
      <c r="CE18" s="527">
        <v>425000</v>
      </c>
      <c r="CF18" s="527"/>
      <c r="CG18" s="527"/>
      <c r="CH18" s="527"/>
    </row>
    <row r="19" spans="4:86" ht="18" customHeight="1">
      <c r="D19" s="10"/>
      <c r="E19" s="690" t="s">
        <v>370</v>
      </c>
      <c r="F19" s="691"/>
      <c r="G19" s="691"/>
      <c r="H19" s="691"/>
      <c r="I19" s="694">
        <f t="shared" si="1"/>
        <v>10</v>
      </c>
      <c r="J19" s="668"/>
      <c r="K19" s="695"/>
      <c r="L19" s="698">
        <f t="shared" si="2"/>
        <v>0</v>
      </c>
      <c r="M19" s="699"/>
      <c r="N19" s="728"/>
      <c r="O19" s="728"/>
      <c r="P19" s="580"/>
      <c r="Q19" s="580"/>
      <c r="R19" s="710">
        <f>COUNTIF($L$26:$Y$26,2)</f>
        <v>0</v>
      </c>
      <c r="S19" s="711"/>
      <c r="T19" s="580"/>
      <c r="U19" s="580"/>
      <c r="V19" s="580"/>
      <c r="W19" s="580"/>
      <c r="X19" s="580"/>
      <c r="Y19" s="580"/>
      <c r="Z19" s="786">
        <v>10</v>
      </c>
      <c r="AA19" s="787"/>
      <c r="AB19" s="788"/>
      <c r="AD19" s="588">
        <f t="shared" si="3"/>
        <v>2</v>
      </c>
      <c r="AE19" s="589"/>
      <c r="AJ19" s="793" t="s">
        <v>371</v>
      </c>
      <c r="AK19" s="793"/>
      <c r="AL19" s="793"/>
      <c r="AM19" s="810">
        <f>IF(SUM(AS19:AS20)=0,"",CONCATENATE(IF('能力'!H6="","",'能力'!H6)&amp;IF('能力'!H7="","",CONCATENATE(,"（",'能力'!H7,"）"))))</f>
      </c>
      <c r="AN19" s="810"/>
      <c r="AO19" s="810"/>
      <c r="AP19" s="810"/>
      <c r="AQ19" s="810"/>
      <c r="AR19" s="810"/>
      <c r="AS19" s="809"/>
      <c r="AT19" s="809"/>
      <c r="AU19" s="809"/>
      <c r="AV19" s="12"/>
      <c r="BQ19" s="335"/>
      <c r="BR19" s="1" t="s">
        <v>372</v>
      </c>
      <c r="BS19" s="1">
        <v>1</v>
      </c>
      <c r="BT19" s="1"/>
      <c r="BU19" s="1"/>
      <c r="BV19" s="1">
        <f t="shared" si="0"/>
        <v>0</v>
      </c>
      <c r="BW19" s="1">
        <v>15</v>
      </c>
      <c r="BX19" s="1">
        <v>200</v>
      </c>
      <c r="BY19" s="7" t="s">
        <v>596</v>
      </c>
      <c r="BZ19" s="8">
        <v>3</v>
      </c>
      <c r="CA19" s="527">
        <v>600000</v>
      </c>
      <c r="CB19" s="530"/>
      <c r="CC19" s="527">
        <v>1350000</v>
      </c>
      <c r="CD19" s="527">
        <v>890000</v>
      </c>
      <c r="CE19" s="527">
        <v>600000</v>
      </c>
      <c r="CF19" s="527"/>
      <c r="CG19" s="527"/>
      <c r="CH19" s="527"/>
    </row>
    <row r="20" spans="4:86" ht="18" customHeight="1">
      <c r="D20" s="10"/>
      <c r="E20" s="692" t="s">
        <v>373</v>
      </c>
      <c r="F20" s="693"/>
      <c r="G20" s="693"/>
      <c r="H20" s="693"/>
      <c r="I20" s="694">
        <f>SUM(N20:AB20)</f>
        <v>16</v>
      </c>
      <c r="J20" s="668"/>
      <c r="K20" s="695"/>
      <c r="L20" s="698">
        <f t="shared" si="2"/>
        <v>3</v>
      </c>
      <c r="M20" s="699"/>
      <c r="N20" s="728">
        <v>2</v>
      </c>
      <c r="O20" s="728"/>
      <c r="P20" s="580"/>
      <c r="Q20" s="580"/>
      <c r="R20" s="710">
        <f>COUNTIF($L$26:$Y$26,3)</f>
        <v>0</v>
      </c>
      <c r="S20" s="711"/>
      <c r="T20" s="580"/>
      <c r="U20" s="580"/>
      <c r="V20" s="580"/>
      <c r="W20" s="580"/>
      <c r="X20" s="580"/>
      <c r="Y20" s="580"/>
      <c r="Z20" s="786">
        <v>14</v>
      </c>
      <c r="AA20" s="787"/>
      <c r="AB20" s="788"/>
      <c r="AD20" s="588">
        <f t="shared" si="3"/>
        <v>6</v>
      </c>
      <c r="AE20" s="589"/>
      <c r="AJ20" s="594" t="s">
        <v>374</v>
      </c>
      <c r="AK20" s="594"/>
      <c r="AL20" s="594"/>
      <c r="AM20" s="810"/>
      <c r="AN20" s="810"/>
      <c r="AO20" s="810"/>
      <c r="AP20" s="810"/>
      <c r="AQ20" s="810"/>
      <c r="AR20" s="810"/>
      <c r="AS20" s="809"/>
      <c r="AT20" s="809"/>
      <c r="AU20" s="809"/>
      <c r="AV20" s="12"/>
      <c r="BQ20" s="335"/>
      <c r="BR20" s="1"/>
      <c r="BS20" s="1"/>
      <c r="BT20" s="1"/>
      <c r="BU20" s="1" t="s">
        <v>375</v>
      </c>
      <c r="BV20" s="1">
        <f t="shared" si="0"/>
        <v>0</v>
      </c>
      <c r="BW20" s="1">
        <v>16</v>
      </c>
      <c r="BX20" s="1">
        <v>230</v>
      </c>
      <c r="BY20" s="7" t="s">
        <v>597</v>
      </c>
      <c r="BZ20" s="8">
        <v>6</v>
      </c>
      <c r="CA20" s="527">
        <v>850000</v>
      </c>
      <c r="CB20" s="530"/>
      <c r="CC20" s="527">
        <v>1900000</v>
      </c>
      <c r="CD20" s="527">
        <v>1300000</v>
      </c>
      <c r="CE20" s="527">
        <v>850000</v>
      </c>
      <c r="CF20" s="527"/>
      <c r="CG20" s="527"/>
      <c r="CH20" s="527"/>
    </row>
    <row r="21" spans="4:86" ht="18" customHeight="1">
      <c r="D21" s="10"/>
      <c r="E21" s="703" t="s">
        <v>376</v>
      </c>
      <c r="F21" s="704"/>
      <c r="G21" s="704"/>
      <c r="H21" s="704"/>
      <c r="I21" s="694">
        <f t="shared" si="1"/>
        <v>10</v>
      </c>
      <c r="J21" s="668"/>
      <c r="K21" s="695"/>
      <c r="L21" s="698">
        <f t="shared" si="2"/>
        <v>0</v>
      </c>
      <c r="M21" s="699"/>
      <c r="N21" s="728"/>
      <c r="O21" s="728"/>
      <c r="P21" s="580"/>
      <c r="Q21" s="580"/>
      <c r="R21" s="710">
        <f>COUNTIF($L$26:$Y$26,4)</f>
        <v>0</v>
      </c>
      <c r="S21" s="711"/>
      <c r="T21" s="580"/>
      <c r="U21" s="580"/>
      <c r="V21" s="580"/>
      <c r="W21" s="580"/>
      <c r="X21" s="580"/>
      <c r="Y21" s="580"/>
      <c r="Z21" s="786">
        <v>10</v>
      </c>
      <c r="AA21" s="787"/>
      <c r="AB21" s="788"/>
      <c r="AD21" s="588">
        <f t="shared" si="3"/>
        <v>2</v>
      </c>
      <c r="AE21" s="589"/>
      <c r="AJ21" s="594" t="s">
        <v>377</v>
      </c>
      <c r="AK21" s="594"/>
      <c r="AL21" s="594"/>
      <c r="AM21" s="585" t="s">
        <v>898</v>
      </c>
      <c r="AN21" s="585"/>
      <c r="AO21" s="585"/>
      <c r="AP21" s="585"/>
      <c r="AQ21" s="585"/>
      <c r="AR21" s="585"/>
      <c r="AS21" s="580">
        <v>11</v>
      </c>
      <c r="AT21" s="580"/>
      <c r="AU21" s="580"/>
      <c r="BQ21" s="335"/>
      <c r="BR21" s="1" t="s">
        <v>378</v>
      </c>
      <c r="BS21" s="1">
        <v>2</v>
      </c>
      <c r="BT21" s="1"/>
      <c r="BU21" s="1" t="s">
        <v>549</v>
      </c>
      <c r="BV21" s="1">
        <f t="shared" si="0"/>
        <v>0</v>
      </c>
      <c r="BW21" s="1">
        <v>17</v>
      </c>
      <c r="BX21" s="1">
        <v>260</v>
      </c>
      <c r="BY21" s="7" t="s">
        <v>598</v>
      </c>
      <c r="BZ21" s="8">
        <v>12</v>
      </c>
      <c r="CA21" s="527">
        <v>1200000</v>
      </c>
      <c r="CB21" s="530"/>
      <c r="CC21" s="527">
        <v>2700000</v>
      </c>
      <c r="CD21" s="527">
        <v>1800000</v>
      </c>
      <c r="CE21" s="527">
        <v>1200000</v>
      </c>
      <c r="CF21" s="527"/>
      <c r="CG21" s="527"/>
      <c r="CH21" s="527"/>
    </row>
    <row r="22" spans="4:86" ht="18" customHeight="1">
      <c r="D22" s="10"/>
      <c r="E22" s="684" t="s">
        <v>380</v>
      </c>
      <c r="F22" s="685"/>
      <c r="G22" s="685"/>
      <c r="H22" s="685"/>
      <c r="I22" s="694">
        <f t="shared" si="1"/>
        <v>10</v>
      </c>
      <c r="J22" s="668"/>
      <c r="K22" s="695"/>
      <c r="L22" s="698">
        <f t="shared" si="2"/>
        <v>0</v>
      </c>
      <c r="M22" s="699"/>
      <c r="N22" s="728"/>
      <c r="O22" s="728"/>
      <c r="P22" s="580"/>
      <c r="Q22" s="580"/>
      <c r="R22" s="710">
        <f>COUNTIF($L$26:$Y$26,5)</f>
        <v>0</v>
      </c>
      <c r="S22" s="711"/>
      <c r="T22" s="580"/>
      <c r="U22" s="580"/>
      <c r="V22" s="580"/>
      <c r="W22" s="580"/>
      <c r="X22" s="580"/>
      <c r="Y22" s="580"/>
      <c r="Z22" s="786">
        <v>10</v>
      </c>
      <c r="AA22" s="787"/>
      <c r="AB22" s="788"/>
      <c r="AD22" s="588">
        <f t="shared" si="3"/>
        <v>2</v>
      </c>
      <c r="AE22" s="589"/>
      <c r="AM22" s="585"/>
      <c r="AN22" s="585"/>
      <c r="AO22" s="585"/>
      <c r="AP22" s="585"/>
      <c r="AQ22" s="585"/>
      <c r="AR22" s="585"/>
      <c r="AS22" s="580"/>
      <c r="AT22" s="580"/>
      <c r="AU22" s="580"/>
      <c r="BQ22" s="335"/>
      <c r="BR22" s="1"/>
      <c r="BS22" s="1"/>
      <c r="BT22" s="1"/>
      <c r="BU22" s="1" t="s">
        <v>551</v>
      </c>
      <c r="BV22" s="1">
        <f t="shared" si="0"/>
        <v>0</v>
      </c>
      <c r="BW22" s="1">
        <v>18</v>
      </c>
      <c r="BX22" s="1">
        <v>300</v>
      </c>
      <c r="BY22" s="7" t="s">
        <v>599</v>
      </c>
      <c r="BZ22" s="8">
        <v>24</v>
      </c>
      <c r="CA22" s="527">
        <v>1700000</v>
      </c>
      <c r="CB22" s="530"/>
      <c r="CC22" s="527">
        <v>3850000</v>
      </c>
      <c r="CD22" s="527">
        <v>2550000</v>
      </c>
      <c r="CE22" s="527">
        <v>1700000</v>
      </c>
      <c r="CF22" s="527"/>
      <c r="CG22" s="527"/>
      <c r="CH22" s="527"/>
    </row>
    <row r="23" spans="4:86" ht="18" customHeight="1" thickBot="1">
      <c r="D23" s="10"/>
      <c r="E23" s="775" t="s">
        <v>382</v>
      </c>
      <c r="F23" s="776"/>
      <c r="G23" s="776"/>
      <c r="H23" s="776"/>
      <c r="I23" s="795">
        <f t="shared" si="1"/>
        <v>10</v>
      </c>
      <c r="J23" s="796"/>
      <c r="K23" s="797"/>
      <c r="L23" s="798">
        <f t="shared" si="2"/>
        <v>0</v>
      </c>
      <c r="M23" s="799"/>
      <c r="N23" s="794"/>
      <c r="O23" s="794"/>
      <c r="P23" s="784"/>
      <c r="Q23" s="784"/>
      <c r="R23" s="832">
        <f>COUNTIF($L$26:$Y$26,6)</f>
        <v>0</v>
      </c>
      <c r="S23" s="833"/>
      <c r="T23" s="784"/>
      <c r="U23" s="784"/>
      <c r="V23" s="784"/>
      <c r="W23" s="784"/>
      <c r="X23" s="784"/>
      <c r="Y23" s="784"/>
      <c r="Z23" s="803">
        <v>10</v>
      </c>
      <c r="AA23" s="804"/>
      <c r="AB23" s="805"/>
      <c r="AD23" s="590">
        <f t="shared" si="3"/>
        <v>2</v>
      </c>
      <c r="AE23" s="591"/>
      <c r="AM23" s="585"/>
      <c r="AN23" s="585"/>
      <c r="AO23" s="585"/>
      <c r="AP23" s="585"/>
      <c r="AQ23" s="585"/>
      <c r="AR23" s="585"/>
      <c r="AS23" s="580"/>
      <c r="AT23" s="580"/>
      <c r="AU23" s="580"/>
      <c r="BN23" s="3"/>
      <c r="BO23" s="3"/>
      <c r="BP23" s="1"/>
      <c r="BQ23" s="7"/>
      <c r="BR23" s="1" t="s">
        <v>383</v>
      </c>
      <c r="BS23" s="1">
        <v>2</v>
      </c>
      <c r="BT23" s="1"/>
      <c r="BU23" s="1" t="s">
        <v>553</v>
      </c>
      <c r="BV23" s="1">
        <f t="shared" si="0"/>
        <v>0</v>
      </c>
      <c r="BW23" s="1">
        <v>19</v>
      </c>
      <c r="BX23" s="1">
        <v>350</v>
      </c>
      <c r="BY23" s="8"/>
      <c r="BZ23" s="8"/>
      <c r="CA23" s="527">
        <v>2400000</v>
      </c>
      <c r="CB23" s="530"/>
      <c r="CC23" s="527">
        <v>5350000</v>
      </c>
      <c r="CD23" s="527">
        <v>3600000</v>
      </c>
      <c r="CE23" s="527">
        <v>2400000</v>
      </c>
      <c r="CF23" s="527"/>
      <c r="CG23" s="527"/>
      <c r="CH23" s="527"/>
    </row>
    <row r="24" spans="4:86" ht="18" customHeight="1">
      <c r="D24" s="10"/>
      <c r="AM24" s="585"/>
      <c r="AN24" s="585"/>
      <c r="AO24" s="585"/>
      <c r="AP24" s="585"/>
      <c r="AQ24" s="585"/>
      <c r="AR24" s="585"/>
      <c r="AS24" s="580"/>
      <c r="AT24" s="580"/>
      <c r="AU24" s="580"/>
      <c r="BN24" s="3"/>
      <c r="BO24" s="3"/>
      <c r="BP24" s="1"/>
      <c r="BQ24" s="7"/>
      <c r="BR24" s="1"/>
      <c r="BS24" s="1"/>
      <c r="BT24" s="1"/>
      <c r="BU24" s="1" t="s">
        <v>554</v>
      </c>
      <c r="BV24" s="1">
        <f t="shared" si="0"/>
        <v>0</v>
      </c>
      <c r="BW24" s="1">
        <v>20</v>
      </c>
      <c r="BX24" s="1">
        <v>400</v>
      </c>
      <c r="BY24" s="8" t="s">
        <v>617</v>
      </c>
      <c r="BZ24" s="8" t="s">
        <v>384</v>
      </c>
      <c r="CA24" s="527">
        <v>3400000</v>
      </c>
      <c r="CB24" s="530"/>
      <c r="CC24" s="527">
        <v>7300000</v>
      </c>
      <c r="CD24" s="527">
        <v>4800000</v>
      </c>
      <c r="CE24" s="527">
        <v>3400000</v>
      </c>
      <c r="CF24" s="527"/>
      <c r="CG24" s="527"/>
      <c r="CH24" s="527"/>
    </row>
    <row r="25" spans="4:81" ht="18" customHeight="1" thickBot="1">
      <c r="D25" s="10"/>
      <c r="G25" s="606" t="s">
        <v>385</v>
      </c>
      <c r="H25" s="606"/>
      <c r="I25" s="606"/>
      <c r="J25" s="606"/>
      <c r="K25" s="606"/>
      <c r="L25" s="663" t="s">
        <v>386</v>
      </c>
      <c r="M25" s="663"/>
      <c r="N25" s="663"/>
      <c r="O25" s="663" t="s">
        <v>387</v>
      </c>
      <c r="P25" s="663"/>
      <c r="Q25" s="663"/>
      <c r="R25" s="663" t="s">
        <v>388</v>
      </c>
      <c r="S25" s="663"/>
      <c r="T25" s="663"/>
      <c r="U25" s="663" t="s">
        <v>389</v>
      </c>
      <c r="V25" s="663"/>
      <c r="W25" s="663"/>
      <c r="X25" s="663" t="s">
        <v>390</v>
      </c>
      <c r="Y25" s="663"/>
      <c r="Z25" s="663"/>
      <c r="AJ25" s="3"/>
      <c r="AM25" s="585"/>
      <c r="AN25" s="585"/>
      <c r="AO25" s="585"/>
      <c r="AP25" s="585"/>
      <c r="AQ25" s="585"/>
      <c r="AR25" s="585"/>
      <c r="AS25" s="580"/>
      <c r="AT25" s="580"/>
      <c r="AU25" s="580"/>
      <c r="BN25" s="3"/>
      <c r="BO25" s="3"/>
      <c r="BP25" s="1"/>
      <c r="BQ25" s="7" t="s">
        <v>391</v>
      </c>
      <c r="BR25" s="1" t="s">
        <v>392</v>
      </c>
      <c r="BS25" s="1" t="s">
        <v>393</v>
      </c>
      <c r="BT25" s="1" t="s">
        <v>394</v>
      </c>
      <c r="BU25" s="1" t="s">
        <v>578</v>
      </c>
      <c r="BV25" s="1"/>
      <c r="BW25" s="1">
        <v>21</v>
      </c>
      <c r="BX25" s="1">
        <v>460</v>
      </c>
      <c r="BY25" s="8">
        <f>IF(AP89="","",CONCATENATE("[",AN89,"]に対する抵抗",AP89))</f>
      </c>
      <c r="BZ25" s="8" t="b">
        <v>0</v>
      </c>
      <c r="CA25" s="8"/>
      <c r="CB25" s="9" t="b">
        <v>0</v>
      </c>
      <c r="CC25" s="8"/>
    </row>
    <row r="26" spans="4:81" ht="18" customHeight="1" thickBot="1">
      <c r="D26" s="10"/>
      <c r="E26" s="11"/>
      <c r="F26" s="11"/>
      <c r="G26" s="606"/>
      <c r="H26" s="606"/>
      <c r="I26" s="606"/>
      <c r="J26" s="606"/>
      <c r="K26" s="606"/>
      <c r="L26" s="676">
        <v>1</v>
      </c>
      <c r="M26" s="676"/>
      <c r="N26" s="676"/>
      <c r="O26" s="676">
        <v>1</v>
      </c>
      <c r="P26" s="676"/>
      <c r="Q26" s="676"/>
      <c r="R26" s="676">
        <v>7</v>
      </c>
      <c r="S26" s="676"/>
      <c r="T26" s="676"/>
      <c r="U26" s="676">
        <v>7</v>
      </c>
      <c r="V26" s="676"/>
      <c r="W26" s="676"/>
      <c r="X26" s="676">
        <v>7</v>
      </c>
      <c r="Y26" s="676"/>
      <c r="Z26" s="676"/>
      <c r="AD26" s="604" t="s">
        <v>395</v>
      </c>
      <c r="AE26" s="605"/>
      <c r="AF26" s="605"/>
      <c r="AG26" s="597" t="str">
        <f>AF4+'装備'!H6&amp;"ポンド"</f>
        <v>46.8ポンド</v>
      </c>
      <c r="AH26" s="598"/>
      <c r="AI26" s="598"/>
      <c r="AJ26" s="598"/>
      <c r="AK26" s="599"/>
      <c r="AM26" s="585"/>
      <c r="AN26" s="585"/>
      <c r="AO26" s="585"/>
      <c r="AP26" s="585"/>
      <c r="AQ26" s="585"/>
      <c r="AR26" s="585"/>
      <c r="AS26" s="580"/>
      <c r="AT26" s="580"/>
      <c r="AU26" s="580"/>
      <c r="BN26" s="3"/>
      <c r="BO26" s="3"/>
      <c r="BP26" s="3"/>
      <c r="BQ26" s="7" t="s">
        <v>612</v>
      </c>
      <c r="BR26" s="1" t="s">
        <v>612</v>
      </c>
      <c r="BS26" s="1" t="s">
        <v>612</v>
      </c>
      <c r="BT26" s="1" t="s">
        <v>396</v>
      </c>
      <c r="BU26" s="1" t="s">
        <v>557</v>
      </c>
      <c r="BV26" s="1"/>
      <c r="BW26" s="1">
        <v>22</v>
      </c>
      <c r="BX26" s="1">
        <v>520</v>
      </c>
      <c r="BY26" s="8">
        <f>IF(AP88="","",CONCATENATE("[",AN88,"]に対する抵抗",AP88))</f>
      </c>
      <c r="BZ26" s="8" t="b">
        <v>0</v>
      </c>
      <c r="CA26" s="8"/>
      <c r="CB26" s="9" t="b">
        <v>0</v>
      </c>
      <c r="CC26" s="8"/>
    </row>
    <row r="27" spans="36:81" ht="18" customHeight="1">
      <c r="AJ27" s="3"/>
      <c r="AM27" s="585"/>
      <c r="AN27" s="585"/>
      <c r="AO27" s="585"/>
      <c r="AP27" s="585"/>
      <c r="AQ27" s="585"/>
      <c r="AR27" s="585"/>
      <c r="AS27" s="580"/>
      <c r="AT27" s="580"/>
      <c r="AU27" s="580"/>
      <c r="AW27" s="607" t="s">
        <v>397</v>
      </c>
      <c r="AX27" s="608"/>
      <c r="AY27" s="608"/>
      <c r="AZ27" s="609"/>
      <c r="BN27" s="3"/>
      <c r="BO27" s="3"/>
      <c r="BP27" s="3"/>
      <c r="BQ27" s="7" t="s">
        <v>610</v>
      </c>
      <c r="BR27" s="1" t="s">
        <v>604</v>
      </c>
      <c r="BS27" s="1" t="s">
        <v>613</v>
      </c>
      <c r="BT27" s="1"/>
      <c r="BU27" s="1"/>
      <c r="BV27" s="1"/>
      <c r="BW27" s="1">
        <v>23</v>
      </c>
      <c r="BX27" s="1">
        <v>600</v>
      </c>
      <c r="BY27" s="8">
        <f>IF(AP90="","",CONCATENATE("[",AN90,"]に対する抵抗",AP90))</f>
      </c>
      <c r="BZ27" s="8" t="b">
        <v>0</v>
      </c>
      <c r="CA27" s="8"/>
      <c r="CB27" s="9" t="b">
        <v>0</v>
      </c>
      <c r="CC27" s="8"/>
    </row>
    <row r="28" spans="36:81" ht="18" customHeight="1">
      <c r="AJ28" s="3"/>
      <c r="AM28" s="806" t="s">
        <v>398</v>
      </c>
      <c r="AN28" s="807"/>
      <c r="AO28" s="807"/>
      <c r="AP28" s="807"/>
      <c r="AQ28" s="807"/>
      <c r="AR28" s="808"/>
      <c r="AS28" s="600">
        <f>SUM(AS19:AS27)</f>
        <v>11</v>
      </c>
      <c r="AT28" s="601"/>
      <c r="AU28" s="602"/>
      <c r="AW28" s="581"/>
      <c r="AX28" s="582"/>
      <c r="AY28" s="582"/>
      <c r="AZ28" s="583"/>
      <c r="BN28" s="3"/>
      <c r="BO28" s="3"/>
      <c r="BP28" s="3"/>
      <c r="BQ28" s="7" t="s">
        <v>611</v>
      </c>
      <c r="BR28" s="1" t="s">
        <v>616</v>
      </c>
      <c r="BS28" s="1" t="s">
        <v>614</v>
      </c>
      <c r="BT28" s="1"/>
      <c r="BU28" s="1"/>
      <c r="BV28" s="1"/>
      <c r="BW28" s="1">
        <v>24</v>
      </c>
      <c r="BX28" s="1">
        <v>700</v>
      </c>
      <c r="BY28" s="8">
        <f>IF(AT88="","",CONCATENATE("[",AR88,"]に対する抵抗",AT88))</f>
      </c>
      <c r="BZ28" s="8" t="b">
        <v>0</v>
      </c>
      <c r="CA28" s="8"/>
      <c r="CB28" s="9" t="b">
        <v>0</v>
      </c>
      <c r="CC28" s="8"/>
    </row>
    <row r="29" spans="66:81" ht="3.75" customHeight="1">
      <c r="BN29" s="3"/>
      <c r="BO29" s="3"/>
      <c r="BP29" s="3"/>
      <c r="BQ29" s="7" t="s">
        <v>399</v>
      </c>
      <c r="BR29" s="1" t="s">
        <v>399</v>
      </c>
      <c r="BS29" s="1" t="s">
        <v>615</v>
      </c>
      <c r="BT29" s="1"/>
      <c r="BU29" s="1"/>
      <c r="BV29" s="1"/>
      <c r="BW29" s="1">
        <v>25</v>
      </c>
      <c r="BX29" s="1">
        <v>800</v>
      </c>
      <c r="BY29" s="8">
        <f>IF(AT89="","",CONCATENATE("[",AR89,"]に対する抵抗",AT89))</f>
      </c>
      <c r="BZ29" s="8" t="b">
        <v>0</v>
      </c>
      <c r="CA29" s="8"/>
      <c r="CB29" s="9" t="b">
        <v>0</v>
      </c>
      <c r="CC29" s="8"/>
    </row>
    <row r="30" spans="4:81" ht="18" customHeight="1">
      <c r="D30" s="831" t="s">
        <v>400</v>
      </c>
      <c r="E30" s="767"/>
      <c r="F30" s="767"/>
      <c r="G30" s="767"/>
      <c r="H30" s="767"/>
      <c r="I30" s="765" t="s">
        <v>401</v>
      </c>
      <c r="J30" s="765"/>
      <c r="K30" s="767" t="s">
        <v>402</v>
      </c>
      <c r="L30" s="768"/>
      <c r="M30" s="608" t="s">
        <v>892</v>
      </c>
      <c r="N30" s="608"/>
      <c r="O30" s="608"/>
      <c r="P30" s="608"/>
      <c r="Q30" s="790" t="s">
        <v>403</v>
      </c>
      <c r="R30" s="791"/>
      <c r="S30" s="791"/>
      <c r="T30" s="791"/>
      <c r="U30" s="791"/>
      <c r="V30" s="792"/>
      <c r="W30" s="800" t="s">
        <v>404</v>
      </c>
      <c r="X30" s="801"/>
      <c r="Y30" s="801"/>
      <c r="Z30" s="801"/>
      <c r="AA30" s="801"/>
      <c r="AB30" s="802"/>
      <c r="AE30" s="603" t="s">
        <v>405</v>
      </c>
      <c r="AF30" s="603"/>
      <c r="AG30" s="603"/>
      <c r="AH30" s="603"/>
      <c r="AI30" s="603"/>
      <c r="AJ30" s="603"/>
      <c r="AK30" s="584"/>
      <c r="AL30" s="584"/>
      <c r="AM30" s="584"/>
      <c r="AN30" s="584"/>
      <c r="AO30" s="584"/>
      <c r="AP30" s="595"/>
      <c r="AQ30" s="595"/>
      <c r="AR30" s="595"/>
      <c r="AS30" s="595"/>
      <c r="AT30" s="595"/>
      <c r="AU30" s="584"/>
      <c r="AV30" s="584"/>
      <c r="AW30" s="584"/>
      <c r="AX30" s="584"/>
      <c r="AY30" s="584"/>
      <c r="AZ30" s="13"/>
      <c r="BA30" s="566"/>
      <c r="BB30" s="566"/>
      <c r="BC30" s="566"/>
      <c r="BD30" s="566"/>
      <c r="BE30" s="567"/>
      <c r="BN30" s="3"/>
      <c r="BO30" s="3"/>
      <c r="BP30" s="3"/>
      <c r="BQ30" s="7">
        <v>1</v>
      </c>
      <c r="BR30" s="1">
        <v>1</v>
      </c>
      <c r="BS30" s="1" t="s">
        <v>399</v>
      </c>
      <c r="BT30" s="1" t="s">
        <v>406</v>
      </c>
      <c r="BU30" s="1"/>
      <c r="BV30" s="1"/>
      <c r="BW30" s="1">
        <v>26</v>
      </c>
      <c r="BX30" s="1">
        <v>920</v>
      </c>
      <c r="BY30" s="8">
        <f>IF(AP89="","",CONCATENATE("[",AN89,"]",AP89))</f>
      </c>
      <c r="BZ30" s="8" t="b">
        <v>0</v>
      </c>
      <c r="CA30" s="8"/>
      <c r="CB30" s="9" t="b">
        <v>0</v>
      </c>
      <c r="CC30" s="8"/>
    </row>
    <row r="31" spans="4:81" ht="18" customHeight="1" thickBot="1">
      <c r="D31" s="834"/>
      <c r="E31" s="596"/>
      <c r="F31" s="596"/>
      <c r="G31" s="596"/>
      <c r="H31" s="596"/>
      <c r="I31" s="686"/>
      <c r="J31" s="686"/>
      <c r="K31" s="596"/>
      <c r="L31" s="769"/>
      <c r="M31" s="761" t="s">
        <v>407</v>
      </c>
      <c r="N31" s="762"/>
      <c r="O31" s="857" t="s">
        <v>408</v>
      </c>
      <c r="P31" s="858"/>
      <c r="Q31" s="782" t="s">
        <v>409</v>
      </c>
      <c r="R31" s="782"/>
      <c r="S31" s="840" t="s">
        <v>410</v>
      </c>
      <c r="T31" s="840"/>
      <c r="U31" s="835" t="s">
        <v>411</v>
      </c>
      <c r="V31" s="835"/>
      <c r="W31" s="834" t="s">
        <v>409</v>
      </c>
      <c r="X31" s="596"/>
      <c r="Y31" s="831" t="s">
        <v>410</v>
      </c>
      <c r="Z31" s="768"/>
      <c r="AA31" s="596" t="s">
        <v>411</v>
      </c>
      <c r="AB31" s="769"/>
      <c r="AE31" s="603"/>
      <c r="AF31" s="603"/>
      <c r="AG31" s="603"/>
      <c r="AH31" s="603"/>
      <c r="AI31" s="603"/>
      <c r="AJ31" s="603"/>
      <c r="AK31" s="584"/>
      <c r="AL31" s="584"/>
      <c r="AM31" s="584"/>
      <c r="AN31" s="584"/>
      <c r="AO31" s="584"/>
      <c r="AP31" s="595"/>
      <c r="AQ31" s="595"/>
      <c r="AR31" s="595"/>
      <c r="AS31" s="595"/>
      <c r="AT31" s="595"/>
      <c r="AU31" s="595"/>
      <c r="AV31" s="595"/>
      <c r="AW31" s="595"/>
      <c r="AX31" s="595"/>
      <c r="AY31" s="595"/>
      <c r="AZ31" s="13"/>
      <c r="BA31" s="566"/>
      <c r="BB31" s="566"/>
      <c r="BC31" s="566"/>
      <c r="BD31" s="566"/>
      <c r="BE31" s="567"/>
      <c r="BN31" s="3"/>
      <c r="BO31" s="3"/>
      <c r="BP31" s="3"/>
      <c r="BQ31" s="7" t="b">
        <v>0</v>
      </c>
      <c r="BR31" s="1" t="str">
        <f aca="true" t="shared" si="4" ref="BR31:BR39">IF(BQ31=FALSE,"―","✔")</f>
        <v>―</v>
      </c>
      <c r="BS31" s="1">
        <v>1</v>
      </c>
      <c r="BT31" s="1">
        <v>1</v>
      </c>
      <c r="BU31" s="1"/>
      <c r="BV31" s="1" t="s">
        <v>600</v>
      </c>
      <c r="BW31" s="1">
        <v>27</v>
      </c>
      <c r="BX31" s="1">
        <v>1040</v>
      </c>
      <c r="BY31" s="8">
        <f>IF(AP88="","",IF(COUNTBLANK(BY30)=1,CONCATENATE("[",AN88,"]",AP88),CONCATENATE(", [",AN88,"]",AP88)))</f>
      </c>
      <c r="BZ31" s="8" t="b">
        <v>0</v>
      </c>
      <c r="CA31" s="8"/>
      <c r="CB31" s="9" t="b">
        <v>0</v>
      </c>
      <c r="CC31" s="8"/>
    </row>
    <row r="32" spans="4:81" ht="18" customHeight="1" thickBot="1">
      <c r="D32" s="854" t="s">
        <v>412</v>
      </c>
      <c r="E32" s="855"/>
      <c r="F32" s="855"/>
      <c r="G32" s="855"/>
      <c r="H32" s="856"/>
      <c r="I32" s="836">
        <f>AS28</f>
        <v>11</v>
      </c>
      <c r="J32" s="836"/>
      <c r="K32" s="836">
        <f>AS28-AS20</f>
        <v>11</v>
      </c>
      <c r="L32" s="836"/>
      <c r="M32" s="859">
        <f>SUM(M38:M57)+M34</f>
        <v>132</v>
      </c>
      <c r="N32" s="859"/>
      <c r="O32" s="836">
        <f>SUM(O38:O57)</f>
        <v>11</v>
      </c>
      <c r="P32" s="836"/>
      <c r="Q32" s="789">
        <f>SUM(Q33:Q37)+SUM(W38:W57)</f>
        <v>13</v>
      </c>
      <c r="R32" s="789"/>
      <c r="S32" s="785">
        <f>SUM(S33:S37)+SUM(Y38:Y57)</f>
        <v>6</v>
      </c>
      <c r="T32" s="785"/>
      <c r="U32" s="830">
        <f>SUM(U33:U37)+SUM(AA38:AA57)</f>
        <v>6</v>
      </c>
      <c r="V32" s="830"/>
      <c r="W32" s="816">
        <f>SUM(W38:W57)</f>
        <v>7</v>
      </c>
      <c r="X32" s="605"/>
      <c r="Y32" s="816">
        <f>SUM(Y38:Y57)</f>
        <v>3</v>
      </c>
      <c r="Z32" s="829"/>
      <c r="AA32" s="605">
        <f>SUM(AA38:AA57)</f>
        <v>3</v>
      </c>
      <c r="AB32" s="825"/>
      <c r="AE32" s="603"/>
      <c r="AF32" s="603"/>
      <c r="AG32" s="603"/>
      <c r="AH32" s="603"/>
      <c r="AI32" s="603"/>
      <c r="AJ32" s="603"/>
      <c r="AK32" s="26"/>
      <c r="AL32" s="26"/>
      <c r="AM32" s="26"/>
      <c r="AN32" s="26"/>
      <c r="AO32" s="26"/>
      <c r="AP32" s="26"/>
      <c r="AQ32" s="27"/>
      <c r="AR32" s="27"/>
      <c r="AS32" s="27"/>
      <c r="AT32" s="27"/>
      <c r="AU32" s="606"/>
      <c r="AV32" s="606"/>
      <c r="AW32" s="606"/>
      <c r="AX32" s="606"/>
      <c r="AY32" s="606"/>
      <c r="BN32" s="3"/>
      <c r="BO32" s="3"/>
      <c r="BP32" s="3"/>
      <c r="BQ32" s="7" t="b">
        <v>0</v>
      </c>
      <c r="BR32" s="1" t="str">
        <f t="shared" si="4"/>
        <v>―</v>
      </c>
      <c r="BS32" s="1" t="s">
        <v>413</v>
      </c>
      <c r="BT32" s="1" t="s">
        <v>414</v>
      </c>
      <c r="BU32" s="1" t="s">
        <v>602</v>
      </c>
      <c r="BV32" s="1">
        <f>'装備'!P12+IF('装備'!O15=2,'装備'!P15,0)+IF('装備'!O16=2,'装備'!P16,0)</f>
        <v>6</v>
      </c>
      <c r="BW32" s="1">
        <v>28</v>
      </c>
      <c r="BX32" s="1">
        <v>1200</v>
      </c>
      <c r="BY32" s="8">
        <f>IF(AP90="","",IF(COUNTBLANK(BY30:BY31)=2,CONCATENATE("[",AN90,"]",AP90),CONCATENATE(", [",AN90,"]",AP90)))</f>
      </c>
      <c r="BZ32" s="8" t="b">
        <v>0</v>
      </c>
      <c r="CA32" s="8"/>
      <c r="CB32" s="9" t="b">
        <v>0</v>
      </c>
      <c r="CC32" s="8"/>
    </row>
    <row r="33" spans="4:81" ht="18" customHeight="1">
      <c r="D33" s="721" t="s">
        <v>416</v>
      </c>
      <c r="E33" s="722"/>
      <c r="F33" s="722"/>
      <c r="G33" s="722"/>
      <c r="H33" s="723"/>
      <c r="I33" s="824"/>
      <c r="J33" s="824"/>
      <c r="K33" s="763"/>
      <c r="L33" s="763"/>
      <c r="M33" s="764">
        <f>L20</f>
        <v>3</v>
      </c>
      <c r="N33" s="764"/>
      <c r="O33" s="763"/>
      <c r="P33" s="763"/>
      <c r="Q33" s="764">
        <f>L20</f>
        <v>3</v>
      </c>
      <c r="R33" s="764"/>
      <c r="S33" s="764">
        <f>L19</f>
        <v>0</v>
      </c>
      <c r="T33" s="764"/>
      <c r="U33" s="764">
        <f>L22</f>
        <v>0</v>
      </c>
      <c r="V33" s="764"/>
      <c r="W33" s="828"/>
      <c r="X33" s="826"/>
      <c r="Y33" s="828"/>
      <c r="Z33" s="827"/>
      <c r="AA33" s="826"/>
      <c r="AB33" s="827"/>
      <c r="AE33" s="603" t="s">
        <v>417</v>
      </c>
      <c r="AF33" s="603"/>
      <c r="AG33" s="603"/>
      <c r="AH33" s="603"/>
      <c r="AI33" s="603"/>
      <c r="AJ33" s="603"/>
      <c r="AK33" s="676"/>
      <c r="AL33" s="676"/>
      <c r="AM33" s="676"/>
      <c r="AN33" s="676"/>
      <c r="AO33" s="676"/>
      <c r="AP33" s="676"/>
      <c r="AQ33" s="676"/>
      <c r="AR33" s="625"/>
      <c r="AS33" s="626"/>
      <c r="AT33" s="626"/>
      <c r="AU33" s="626"/>
      <c r="AV33" s="626"/>
      <c r="AW33" s="626"/>
      <c r="AX33" s="626"/>
      <c r="AY33" s="627"/>
      <c r="BN33" s="3"/>
      <c r="BO33" s="3"/>
      <c r="BP33" s="3"/>
      <c r="BQ33" s="7" t="b">
        <v>0</v>
      </c>
      <c r="BR33" s="1" t="str">
        <f t="shared" si="4"/>
        <v>―</v>
      </c>
      <c r="BS33" s="1" t="s">
        <v>608</v>
      </c>
      <c r="BT33" s="1" t="s">
        <v>418</v>
      </c>
      <c r="BU33" s="1" t="s">
        <v>603</v>
      </c>
      <c r="BV33" s="1">
        <f>MAX(BV32,IF('装備'!O15=1,'装備'!P15,0),IF('装備'!O16=1,'装備'!P16,0))</f>
        <v>6</v>
      </c>
      <c r="BW33" s="1">
        <v>29</v>
      </c>
      <c r="BX33" s="1">
        <v>1400</v>
      </c>
      <c r="BY33" s="8">
        <f>IF(AT88="","",IF(COUNTBLANK(BY30:BY32)=3,CONCATENATE("[",AR88,"]",AT88),CONCATENATE(", [",AR88,"]",AT88)))</f>
      </c>
      <c r="BZ33" s="8" t="b">
        <v>0</v>
      </c>
      <c r="CA33" s="8"/>
      <c r="CB33" s="9" t="b">
        <v>0</v>
      </c>
      <c r="CC33" s="8"/>
    </row>
    <row r="34" spans="4:81" ht="15" customHeight="1">
      <c r="D34" s="721" t="s">
        <v>419</v>
      </c>
      <c r="E34" s="722"/>
      <c r="F34" s="722"/>
      <c r="G34" s="722"/>
      <c r="H34" s="723"/>
      <c r="I34" s="824"/>
      <c r="J34" s="824"/>
      <c r="K34" s="760"/>
      <c r="L34" s="760"/>
      <c r="M34" s="766"/>
      <c r="N34" s="766"/>
      <c r="O34" s="760"/>
      <c r="P34" s="760"/>
      <c r="Q34" s="580"/>
      <c r="R34" s="580"/>
      <c r="S34" s="580"/>
      <c r="T34" s="580"/>
      <c r="U34" s="580"/>
      <c r="V34" s="580"/>
      <c r="W34" s="814"/>
      <c r="X34" s="824"/>
      <c r="Y34" s="814"/>
      <c r="Z34" s="815"/>
      <c r="AA34" s="824"/>
      <c r="AB34" s="815"/>
      <c r="AC34" s="8"/>
      <c r="AD34" s="8"/>
      <c r="AT34" s="8"/>
      <c r="AU34" s="8"/>
      <c r="AV34" s="8"/>
      <c r="AW34" s="8"/>
      <c r="AX34" s="8"/>
      <c r="AY34" s="8"/>
      <c r="AZ34" s="8"/>
      <c r="BA34" s="8"/>
      <c r="BB34" s="8"/>
      <c r="BC34" s="8"/>
      <c r="BD34" s="8"/>
      <c r="BE34" s="8"/>
      <c r="BF34" s="8"/>
      <c r="BG34" s="8"/>
      <c r="BH34" s="8"/>
      <c r="BI34" s="8"/>
      <c r="BJ34" s="8"/>
      <c r="BK34" s="8"/>
      <c r="BL34" s="3"/>
      <c r="BM34" s="3"/>
      <c r="BN34" s="3"/>
      <c r="BO34" s="3"/>
      <c r="BP34" s="3"/>
      <c r="BQ34" s="7" t="b">
        <v>0</v>
      </c>
      <c r="BR34" s="1" t="str">
        <f t="shared" si="4"/>
        <v>―</v>
      </c>
      <c r="BS34" s="1" t="s">
        <v>573</v>
      </c>
      <c r="BT34" s="1" t="s">
        <v>420</v>
      </c>
      <c r="BU34" s="1" t="s">
        <v>604</v>
      </c>
      <c r="BV34" s="1" t="s">
        <v>601</v>
      </c>
      <c r="BW34" s="1">
        <v>30</v>
      </c>
      <c r="BX34" s="1"/>
      <c r="BY34" s="8">
        <f>IF(AT89="","",IF(COUNTBLANK(BY31:BY33)=4,CONCATENATE("[",AR89,"]",AT89),CONCATENATE(", [",AR89,"]",AT89)))</f>
      </c>
      <c r="BZ34" s="8" t="b">
        <v>0</v>
      </c>
      <c r="CA34" s="8"/>
      <c r="CB34" s="9" t="b">
        <v>0</v>
      </c>
      <c r="CC34" s="8"/>
    </row>
    <row r="35" spans="1:81" ht="15" customHeight="1">
      <c r="A35" s="8"/>
      <c r="B35" s="8"/>
      <c r="C35" s="8"/>
      <c r="D35" s="721" t="s">
        <v>422</v>
      </c>
      <c r="E35" s="722"/>
      <c r="F35" s="722"/>
      <c r="G35" s="722"/>
      <c r="H35" s="723"/>
      <c r="I35" s="824"/>
      <c r="J35" s="824"/>
      <c r="K35" s="760"/>
      <c r="L35" s="760"/>
      <c r="M35" s="845"/>
      <c r="N35" s="845"/>
      <c r="O35" s="760"/>
      <c r="P35" s="760"/>
      <c r="Q35" s="580"/>
      <c r="R35" s="580"/>
      <c r="S35" s="580"/>
      <c r="T35" s="580"/>
      <c r="U35" s="580"/>
      <c r="V35" s="580"/>
      <c r="W35" s="814"/>
      <c r="X35" s="824"/>
      <c r="Y35" s="814"/>
      <c r="Z35" s="815"/>
      <c r="AA35" s="824"/>
      <c r="AB35" s="815"/>
      <c r="AC35" s="8"/>
      <c r="AD35" s="584" t="s">
        <v>60</v>
      </c>
      <c r="AE35" s="584"/>
      <c r="AF35" s="584"/>
      <c r="AG35" s="584"/>
      <c r="AH35" s="584"/>
      <c r="AI35" s="584"/>
      <c r="AJ35" s="718" t="s">
        <v>922</v>
      </c>
      <c r="AK35" s="718"/>
      <c r="AL35" s="718"/>
      <c r="AM35" s="718"/>
      <c r="AN35" s="718"/>
      <c r="AO35" s="718"/>
      <c r="AP35" s="718"/>
      <c r="AQ35" s="718"/>
      <c r="AR35" s="8"/>
      <c r="AS35" s="8"/>
      <c r="AT35" s="8"/>
      <c r="AU35" s="8"/>
      <c r="AV35" s="677" t="s">
        <v>423</v>
      </c>
      <c r="AW35" s="678"/>
      <c r="AX35" s="678"/>
      <c r="AY35" s="679"/>
      <c r="AZ35" s="531">
        <v>1</v>
      </c>
      <c r="BA35" s="8"/>
      <c r="BB35" s="8"/>
      <c r="BC35" s="8"/>
      <c r="BD35" s="8"/>
      <c r="BE35" s="8"/>
      <c r="BF35" s="8"/>
      <c r="BG35" s="8"/>
      <c r="BH35" s="3"/>
      <c r="BI35" s="3"/>
      <c r="BJ35" s="3"/>
      <c r="BK35" s="3"/>
      <c r="BL35" s="3"/>
      <c r="BM35" s="3"/>
      <c r="BN35" s="3"/>
      <c r="BO35" s="3"/>
      <c r="BP35" s="3"/>
      <c r="BQ35" s="7" t="b">
        <v>0</v>
      </c>
      <c r="BR35" s="1" t="str">
        <f t="shared" si="4"/>
        <v>―</v>
      </c>
      <c r="BS35" s="1" t="s">
        <v>609</v>
      </c>
      <c r="BT35" s="1"/>
      <c r="BU35" s="1" t="s">
        <v>605</v>
      </c>
      <c r="BV35" s="1">
        <f>'装備'!P13+IF('装備'!O15=4,'装備'!P15,0)+IF('装備'!O16=4,'装備'!P16,0)</f>
        <v>0</v>
      </c>
      <c r="BW35" s="1"/>
      <c r="BX35" s="1"/>
      <c r="BY35" s="8"/>
      <c r="BZ35" s="8" t="b">
        <v>0</v>
      </c>
      <c r="CA35" s="8"/>
      <c r="CB35" s="9" t="b">
        <v>0</v>
      </c>
      <c r="CC35" s="8"/>
    </row>
    <row r="36" spans="1:81" ht="15" customHeight="1">
      <c r="A36" s="8"/>
      <c r="B36" s="1"/>
      <c r="C36" s="8"/>
      <c r="D36" s="721" t="s">
        <v>424</v>
      </c>
      <c r="E36" s="722"/>
      <c r="F36" s="722"/>
      <c r="G36" s="722"/>
      <c r="H36" s="723"/>
      <c r="I36" s="824"/>
      <c r="J36" s="824"/>
      <c r="K36" s="760"/>
      <c r="L36" s="760"/>
      <c r="M36" s="845"/>
      <c r="N36" s="845"/>
      <c r="O36" s="760"/>
      <c r="P36" s="760"/>
      <c r="Q36" s="580">
        <v>3</v>
      </c>
      <c r="R36" s="580"/>
      <c r="S36" s="580">
        <v>3</v>
      </c>
      <c r="T36" s="580"/>
      <c r="U36" s="580">
        <v>3</v>
      </c>
      <c r="V36" s="580"/>
      <c r="W36" s="853"/>
      <c r="X36" s="780"/>
      <c r="Y36" s="853"/>
      <c r="Z36" s="781"/>
      <c r="AA36" s="780"/>
      <c r="AB36" s="781"/>
      <c r="AC36" s="8"/>
      <c r="AD36" s="777" t="s">
        <v>425</v>
      </c>
      <c r="AE36" s="610"/>
      <c r="AF36" s="610"/>
      <c r="AG36" s="610"/>
      <c r="AH36" s="610"/>
      <c r="AI36" s="610"/>
      <c r="AJ36" s="680" t="s">
        <v>426</v>
      </c>
      <c r="AK36" s="681"/>
      <c r="AL36" s="681"/>
      <c r="AM36" s="681"/>
      <c r="AN36" s="681"/>
      <c r="AO36" s="681"/>
      <c r="AP36" s="681"/>
      <c r="AQ36" s="681"/>
      <c r="AR36" s="681"/>
      <c r="AS36" s="673" t="s">
        <v>427</v>
      </c>
      <c r="AT36" s="674"/>
      <c r="AU36" s="674"/>
      <c r="AV36" s="674"/>
      <c r="AW36" s="674"/>
      <c r="AX36" s="674"/>
      <c r="AY36" s="558" t="s">
        <v>831</v>
      </c>
      <c r="AZ36" s="559"/>
      <c r="BA36" s="559"/>
      <c r="BB36" s="560"/>
      <c r="BC36" s="8"/>
      <c r="BD36" s="8"/>
      <c r="BE36" s="8"/>
      <c r="BF36" s="8"/>
      <c r="BG36" s="8"/>
      <c r="BH36" s="3"/>
      <c r="BI36" s="3"/>
      <c r="BJ36" s="3"/>
      <c r="BK36" s="3"/>
      <c r="BL36" s="3"/>
      <c r="BM36" s="3"/>
      <c r="BN36" s="3"/>
      <c r="BO36" s="1"/>
      <c r="BP36" s="1"/>
      <c r="BQ36" s="7" t="b">
        <v>0</v>
      </c>
      <c r="BR36" s="1" t="str">
        <f t="shared" si="4"/>
        <v>―</v>
      </c>
      <c r="BS36" s="1"/>
      <c r="BT36" s="1">
        <v>1</v>
      </c>
      <c r="BU36" s="1" t="s">
        <v>606</v>
      </c>
      <c r="BV36" s="1">
        <f>MAX(BV35,IF('装備'!O15=3,'装備'!P15,0),IF('装備'!O16=3,'装備'!P16,0))</f>
        <v>0</v>
      </c>
      <c r="BW36" s="1"/>
      <c r="BX36" s="1"/>
      <c r="BY36" s="8"/>
      <c r="BZ36" s="8" t="b">
        <v>0</v>
      </c>
      <c r="CA36" s="8"/>
      <c r="CB36" s="9" t="b">
        <v>0</v>
      </c>
      <c r="CC36" s="8"/>
    </row>
    <row r="37" spans="1:81" ht="15" customHeight="1">
      <c r="A37" s="8"/>
      <c r="B37" s="1"/>
      <c r="C37" s="8"/>
      <c r="D37" s="700" t="s">
        <v>429</v>
      </c>
      <c r="E37" s="701"/>
      <c r="F37" s="722"/>
      <c r="G37" s="722"/>
      <c r="H37" s="722"/>
      <c r="I37" s="852" t="s">
        <v>430</v>
      </c>
      <c r="J37" s="812"/>
      <c r="K37" s="664" t="s">
        <v>431</v>
      </c>
      <c r="L37" s="666"/>
      <c r="M37" s="860">
        <f>SUM(M38:M57)</f>
        <v>132</v>
      </c>
      <c r="N37" s="861"/>
      <c r="O37" s="824"/>
      <c r="P37" s="824"/>
      <c r="Q37" s="580"/>
      <c r="R37" s="580"/>
      <c r="S37" s="580"/>
      <c r="T37" s="580"/>
      <c r="U37" s="580"/>
      <c r="V37" s="580"/>
      <c r="W37" s="834" t="s">
        <v>409</v>
      </c>
      <c r="X37" s="596"/>
      <c r="Y37" s="778" t="s">
        <v>410</v>
      </c>
      <c r="Z37" s="779"/>
      <c r="AA37" s="596" t="s">
        <v>411</v>
      </c>
      <c r="AB37" s="769"/>
      <c r="AC37" s="8"/>
      <c r="AD37" s="610"/>
      <c r="AE37" s="610"/>
      <c r="AF37" s="610"/>
      <c r="AG37" s="610"/>
      <c r="AH37" s="610"/>
      <c r="AI37" s="610"/>
      <c r="AJ37" s="681"/>
      <c r="AK37" s="682"/>
      <c r="AL37" s="682"/>
      <c r="AM37" s="682"/>
      <c r="AN37" s="682"/>
      <c r="AO37" s="682"/>
      <c r="AP37" s="682"/>
      <c r="AQ37" s="682"/>
      <c r="AR37" s="683"/>
      <c r="AS37" s="674"/>
      <c r="AT37" s="674"/>
      <c r="AU37" s="674"/>
      <c r="AV37" s="674"/>
      <c r="AW37" s="674"/>
      <c r="AX37" s="674"/>
      <c r="AY37" s="561"/>
      <c r="AZ37" s="562"/>
      <c r="BA37" s="562"/>
      <c r="BB37" s="563"/>
      <c r="BC37" s="8"/>
      <c r="BD37" s="8"/>
      <c r="BE37" s="8"/>
      <c r="BF37" s="8"/>
      <c r="BG37" s="8"/>
      <c r="BH37" s="3"/>
      <c r="BI37" s="3"/>
      <c r="BJ37" s="3"/>
      <c r="BK37" s="3"/>
      <c r="BL37" s="3"/>
      <c r="BM37" s="3"/>
      <c r="BN37" s="3"/>
      <c r="BO37" s="1"/>
      <c r="BP37" s="1"/>
      <c r="BQ37" s="7" t="b">
        <v>0</v>
      </c>
      <c r="BR37" s="1" t="str">
        <f t="shared" si="4"/>
        <v>―</v>
      </c>
      <c r="BS37" s="1"/>
      <c r="BT37" s="1"/>
      <c r="BU37" s="1" t="s">
        <v>607</v>
      </c>
      <c r="BV37" s="1">
        <f>IF('装備'!O15=6,'装備'!P15,0)+IF('装備'!O16=6,'装備'!P16,0)</f>
        <v>0</v>
      </c>
      <c r="BW37" s="1"/>
      <c r="BX37" s="1"/>
      <c r="BY37" s="8"/>
      <c r="BZ37" s="8" t="b">
        <v>0</v>
      </c>
      <c r="CA37" s="8"/>
      <c r="CB37" s="9" t="b">
        <v>0</v>
      </c>
      <c r="CC37" s="8"/>
    </row>
    <row r="38" spans="1:81" ht="15" customHeight="1">
      <c r="A38" s="8"/>
      <c r="B38" s="1"/>
      <c r="C38" s="8"/>
      <c r="D38" s="848" t="s">
        <v>432</v>
      </c>
      <c r="E38" s="849"/>
      <c r="F38" s="841" t="s">
        <v>896</v>
      </c>
      <c r="G38" s="841"/>
      <c r="H38" s="841"/>
      <c r="I38" s="580">
        <v>12</v>
      </c>
      <c r="J38" s="580"/>
      <c r="K38" s="814">
        <f>IF(I38=0," ",I38)</f>
        <v>12</v>
      </c>
      <c r="L38" s="815"/>
      <c r="M38" s="611">
        <f>IF(K38=" "," ",IF(K38+$M$33+IF(BB38="0",0,1)&gt;0,K38+$M$33+IF(BB38="0",1,0),1))</f>
        <v>16</v>
      </c>
      <c r="N38" s="612"/>
      <c r="O38" s="580">
        <v>1</v>
      </c>
      <c r="P38" s="580"/>
      <c r="Q38" s="862">
        <f>SUM($W$38:W38)+$Q$33</f>
        <v>5</v>
      </c>
      <c r="R38" s="862"/>
      <c r="S38" s="864">
        <f>SUM($Y$38:Y38)+$S$33</f>
        <v>0</v>
      </c>
      <c r="T38" s="864"/>
      <c r="U38" s="863">
        <f>SUM($AA$38:AA38)+$U$33</f>
        <v>0</v>
      </c>
      <c r="V38" s="863"/>
      <c r="W38" s="580">
        <v>2</v>
      </c>
      <c r="X38" s="580"/>
      <c r="Y38" s="580">
        <v>0</v>
      </c>
      <c r="Z38" s="580"/>
      <c r="AA38" s="580">
        <v>0</v>
      </c>
      <c r="AB38" s="580"/>
      <c r="AC38" s="8"/>
      <c r="AD38" s="575" t="s">
        <v>908</v>
      </c>
      <c r="AE38" s="575"/>
      <c r="AF38" s="575"/>
      <c r="AG38" s="575"/>
      <c r="AH38" s="575"/>
      <c r="AI38" s="575"/>
      <c r="AJ38" s="575" t="s">
        <v>910</v>
      </c>
      <c r="AK38" s="575"/>
      <c r="AL38" s="575"/>
      <c r="AM38" s="575"/>
      <c r="AN38" s="575"/>
      <c r="AO38" s="575"/>
      <c r="AP38" s="575"/>
      <c r="AQ38" s="575"/>
      <c r="AR38" s="575"/>
      <c r="AS38" s="568" t="s">
        <v>909</v>
      </c>
      <c r="AT38" s="568"/>
      <c r="AU38" s="568"/>
      <c r="AV38" s="568"/>
      <c r="AW38" s="568"/>
      <c r="AX38" s="568"/>
      <c r="AY38" s="570">
        <v>4</v>
      </c>
      <c r="AZ38" s="570"/>
      <c r="BA38" s="570"/>
      <c r="BB38" s="547" t="s">
        <v>923</v>
      </c>
      <c r="BC38" s="8"/>
      <c r="BD38" s="8"/>
      <c r="BE38" s="8"/>
      <c r="BF38" s="8"/>
      <c r="BG38" s="8"/>
      <c r="BH38" s="3"/>
      <c r="BI38" s="3"/>
      <c r="BJ38" s="3"/>
      <c r="BK38" s="3"/>
      <c r="BL38" s="3"/>
      <c r="BM38" s="3"/>
      <c r="BN38" s="3"/>
      <c r="BO38" s="1"/>
      <c r="BP38" s="1"/>
      <c r="BQ38" s="7" t="b">
        <v>0</v>
      </c>
      <c r="BR38" s="1" t="str">
        <f t="shared" si="4"/>
        <v>―</v>
      </c>
      <c r="BS38" s="1" t="b">
        <v>0</v>
      </c>
      <c r="BT38" s="1"/>
      <c r="BU38" s="1"/>
      <c r="BV38" s="1"/>
      <c r="BW38" s="1"/>
      <c r="BX38" s="1"/>
      <c r="BY38" s="8"/>
      <c r="BZ38" s="8" t="b">
        <v>0</v>
      </c>
      <c r="CA38" s="8"/>
      <c r="CB38" s="9" t="b">
        <v>0</v>
      </c>
      <c r="CC38" s="8"/>
    </row>
    <row r="39" spans="1:81" ht="15" customHeight="1">
      <c r="A39" s="8"/>
      <c r="B39" s="1"/>
      <c r="C39" s="8"/>
      <c r="D39" s="846" t="s">
        <v>433</v>
      </c>
      <c r="E39" s="847"/>
      <c r="F39" s="841" t="s">
        <v>897</v>
      </c>
      <c r="G39" s="841"/>
      <c r="H39" s="841"/>
      <c r="I39" s="580">
        <v>12</v>
      </c>
      <c r="J39" s="580"/>
      <c r="K39" s="814">
        <f>IF(I39=0," ",INT(I39/2))</f>
        <v>6</v>
      </c>
      <c r="L39" s="815"/>
      <c r="M39" s="611">
        <f>IF(K39=" "," ",IF(K39+$M$33+IF(BB39="0",0,1)&gt;0,K39+$M$33+IF(BB39="0",1,0),1))</f>
        <v>10</v>
      </c>
      <c r="N39" s="612"/>
      <c r="O39" s="580">
        <v>1</v>
      </c>
      <c r="P39" s="580"/>
      <c r="Q39" s="774">
        <f>SUM($W$38:W39)+$Q$33</f>
        <v>6</v>
      </c>
      <c r="R39" s="774"/>
      <c r="S39" s="773">
        <f>SUM($Y$38:Y39)+$S$33</f>
        <v>0</v>
      </c>
      <c r="T39" s="773"/>
      <c r="U39" s="675">
        <f>SUM($AA$38:AA39)+$U$33</f>
        <v>0</v>
      </c>
      <c r="V39" s="675"/>
      <c r="W39" s="580">
        <v>1</v>
      </c>
      <c r="X39" s="580"/>
      <c r="Y39" s="580">
        <v>0</v>
      </c>
      <c r="Z39" s="580"/>
      <c r="AA39" s="580">
        <v>0</v>
      </c>
      <c r="AB39" s="580"/>
      <c r="AC39" s="8"/>
      <c r="AD39" s="577"/>
      <c r="AE39" s="578"/>
      <c r="AF39" s="578"/>
      <c r="AG39" s="578"/>
      <c r="AH39" s="578"/>
      <c r="AI39" s="579"/>
      <c r="AJ39" s="575"/>
      <c r="AK39" s="575"/>
      <c r="AL39" s="575"/>
      <c r="AM39" s="575"/>
      <c r="AN39" s="575"/>
      <c r="AO39" s="575"/>
      <c r="AP39" s="575"/>
      <c r="AQ39" s="575"/>
      <c r="AR39" s="575"/>
      <c r="AS39" s="568"/>
      <c r="AT39" s="568"/>
      <c r="AU39" s="568"/>
      <c r="AV39" s="568"/>
      <c r="AW39" s="568"/>
      <c r="AX39" s="568"/>
      <c r="AY39" s="570">
        <v>4</v>
      </c>
      <c r="AZ39" s="570"/>
      <c r="BA39" s="570"/>
      <c r="BB39" s="547" t="s">
        <v>924</v>
      </c>
      <c r="BC39" s="8"/>
      <c r="BD39" s="8"/>
      <c r="BE39" s="8"/>
      <c r="BF39" s="8"/>
      <c r="BG39" s="8"/>
      <c r="BH39" s="3"/>
      <c r="BI39" s="3"/>
      <c r="BJ39" s="3"/>
      <c r="BK39" s="3"/>
      <c r="BL39" s="3"/>
      <c r="BM39" s="3"/>
      <c r="BN39" s="3"/>
      <c r="BO39" s="1"/>
      <c r="BP39" s="1"/>
      <c r="BQ39" s="7" t="b">
        <v>0</v>
      </c>
      <c r="BR39" s="1" t="str">
        <f t="shared" si="4"/>
        <v>―</v>
      </c>
      <c r="BS39" s="1" t="b">
        <v>0</v>
      </c>
      <c r="BT39" s="1"/>
      <c r="BU39" s="1"/>
      <c r="BV39" s="1"/>
      <c r="BW39" s="1"/>
      <c r="BX39" s="1"/>
      <c r="BY39" s="8"/>
      <c r="BZ39" s="8" t="b">
        <v>0</v>
      </c>
      <c r="CA39" s="8"/>
      <c r="CB39" s="9" t="b">
        <v>0</v>
      </c>
      <c r="CC39" s="8"/>
    </row>
    <row r="40" spans="1:81" ht="15" customHeight="1">
      <c r="A40" s="8"/>
      <c r="B40" s="1"/>
      <c r="C40" s="8"/>
      <c r="D40" s="846" t="s">
        <v>434</v>
      </c>
      <c r="E40" s="847"/>
      <c r="F40" s="841" t="s">
        <v>897</v>
      </c>
      <c r="G40" s="841"/>
      <c r="H40" s="841"/>
      <c r="I40" s="580">
        <v>12</v>
      </c>
      <c r="J40" s="580"/>
      <c r="K40" s="814">
        <f>IF(I40=0," ",INT(I40/2)+1)</f>
        <v>7</v>
      </c>
      <c r="L40" s="815"/>
      <c r="M40" s="611">
        <f aca="true" t="shared" si="5" ref="M40:M57">IF(K40=" "," ",IF(K40+$M$33+IF(BB40="0",0,1)&gt;0,K40+$M$33+IF(BB40="0",1,0),1))</f>
        <v>11</v>
      </c>
      <c r="N40" s="612"/>
      <c r="O40" s="580">
        <v>1</v>
      </c>
      <c r="P40" s="580"/>
      <c r="Q40" s="774">
        <f>SUM($W$38:W40)+$Q$33</f>
        <v>6</v>
      </c>
      <c r="R40" s="774"/>
      <c r="S40" s="773">
        <f>SUM($Y$38:Y40)+$S$33</f>
        <v>1</v>
      </c>
      <c r="T40" s="773"/>
      <c r="U40" s="675">
        <f>SUM($AA$38:AA40)+$U$33</f>
        <v>1</v>
      </c>
      <c r="V40" s="675"/>
      <c r="W40" s="580">
        <v>0</v>
      </c>
      <c r="X40" s="580"/>
      <c r="Y40" s="580">
        <v>1</v>
      </c>
      <c r="Z40" s="580"/>
      <c r="AA40" s="580">
        <v>1</v>
      </c>
      <c r="AB40" s="580"/>
      <c r="AC40" s="8"/>
      <c r="AD40" s="575" t="s">
        <v>921</v>
      </c>
      <c r="AE40" s="575"/>
      <c r="AF40" s="575"/>
      <c r="AG40" s="575"/>
      <c r="AH40" s="575"/>
      <c r="AI40" s="575"/>
      <c r="AJ40" s="575"/>
      <c r="AK40" s="575"/>
      <c r="AL40" s="575"/>
      <c r="AM40" s="575"/>
      <c r="AN40" s="575"/>
      <c r="AO40" s="575"/>
      <c r="AP40" s="575"/>
      <c r="AQ40" s="575"/>
      <c r="AR40" s="575"/>
      <c r="AS40" s="568"/>
      <c r="AT40" s="568"/>
      <c r="AU40" s="568"/>
      <c r="AV40" s="568"/>
      <c r="AW40" s="568"/>
      <c r="AX40" s="568"/>
      <c r="AY40" s="570">
        <v>4</v>
      </c>
      <c r="AZ40" s="570"/>
      <c r="BA40" s="570"/>
      <c r="BB40" s="547" t="s">
        <v>923</v>
      </c>
      <c r="BC40" s="8"/>
      <c r="BD40" s="8"/>
      <c r="BE40" s="8"/>
      <c r="BF40" s="8"/>
      <c r="BG40" s="8"/>
      <c r="BH40" s="3"/>
      <c r="BI40" s="3"/>
      <c r="BJ40" s="3"/>
      <c r="BK40" s="3"/>
      <c r="BL40" s="3"/>
      <c r="BM40" s="3"/>
      <c r="BN40" s="3"/>
      <c r="BO40" s="1"/>
      <c r="BP40" s="1"/>
      <c r="BQ40" s="7"/>
      <c r="BR40" s="1"/>
      <c r="BS40" s="1" t="b">
        <v>0</v>
      </c>
      <c r="BT40" s="1"/>
      <c r="BU40" s="1"/>
      <c r="BV40" s="1"/>
      <c r="BW40" s="1"/>
      <c r="BX40" s="1"/>
      <c r="BY40" s="8"/>
      <c r="BZ40" s="8" t="b">
        <v>0</v>
      </c>
      <c r="CA40" s="8"/>
      <c r="CB40" s="9" t="b">
        <v>0</v>
      </c>
      <c r="CC40" s="8"/>
    </row>
    <row r="41" spans="1:81" ht="15" customHeight="1">
      <c r="A41" s="8"/>
      <c r="B41" s="1"/>
      <c r="C41" s="8"/>
      <c r="D41" s="846" t="s">
        <v>435</v>
      </c>
      <c r="E41" s="847"/>
      <c r="F41" s="841" t="s">
        <v>897</v>
      </c>
      <c r="G41" s="841"/>
      <c r="H41" s="841"/>
      <c r="I41" s="580">
        <v>12</v>
      </c>
      <c r="J41" s="580"/>
      <c r="K41" s="814">
        <f>IF(I41=0," ",INT(I41/2))</f>
        <v>6</v>
      </c>
      <c r="L41" s="815"/>
      <c r="M41" s="611">
        <f t="shared" si="5"/>
        <v>10</v>
      </c>
      <c r="N41" s="612"/>
      <c r="O41" s="580">
        <v>1</v>
      </c>
      <c r="P41" s="580"/>
      <c r="Q41" s="774">
        <f>SUM($W$38:W41)+$Q$33</f>
        <v>7</v>
      </c>
      <c r="R41" s="774"/>
      <c r="S41" s="773">
        <f>SUM($Y$38:Y41)+$S$33</f>
        <v>1</v>
      </c>
      <c r="T41" s="773"/>
      <c r="U41" s="675">
        <f>SUM($AA$38:AA41)+$U$33</f>
        <v>1</v>
      </c>
      <c r="V41" s="675"/>
      <c r="W41" s="580">
        <v>1</v>
      </c>
      <c r="X41" s="580"/>
      <c r="Y41" s="580">
        <v>0</v>
      </c>
      <c r="Z41" s="580"/>
      <c r="AA41" s="580">
        <v>0</v>
      </c>
      <c r="AB41" s="580"/>
      <c r="AC41" s="8"/>
      <c r="AD41" s="577"/>
      <c r="AE41" s="578"/>
      <c r="AF41" s="578"/>
      <c r="AG41" s="578"/>
      <c r="AH41" s="578"/>
      <c r="AI41" s="579"/>
      <c r="AJ41" s="575"/>
      <c r="AK41" s="575"/>
      <c r="AL41" s="575"/>
      <c r="AM41" s="575"/>
      <c r="AN41" s="575"/>
      <c r="AO41" s="575"/>
      <c r="AP41" s="575"/>
      <c r="AQ41" s="575"/>
      <c r="AR41" s="575"/>
      <c r="AS41" s="568"/>
      <c r="AT41" s="568"/>
      <c r="AU41" s="568"/>
      <c r="AV41" s="568"/>
      <c r="AW41" s="568"/>
      <c r="AX41" s="568"/>
      <c r="AY41" s="570">
        <v>4</v>
      </c>
      <c r="AZ41" s="570"/>
      <c r="BA41" s="570"/>
      <c r="BB41" s="547" t="s">
        <v>923</v>
      </c>
      <c r="BC41" s="8"/>
      <c r="BD41" s="8"/>
      <c r="BE41" s="8"/>
      <c r="BF41" s="8"/>
      <c r="BG41" s="8"/>
      <c r="BH41" s="3"/>
      <c r="BI41" s="3"/>
      <c r="BJ41" s="3"/>
      <c r="BK41" s="3"/>
      <c r="BL41" s="3"/>
      <c r="BM41" s="3"/>
      <c r="BN41" s="3"/>
      <c r="BO41" s="1"/>
      <c r="BP41" s="1"/>
      <c r="BQ41" s="7"/>
      <c r="BR41" s="1"/>
      <c r="BS41" s="1" t="b">
        <v>0</v>
      </c>
      <c r="BT41" s="1"/>
      <c r="BU41" s="1"/>
      <c r="BV41" s="1"/>
      <c r="BW41" s="1"/>
      <c r="BX41" s="1"/>
      <c r="BY41" s="8"/>
      <c r="BZ41" s="8"/>
      <c r="CA41" s="8"/>
      <c r="CB41" s="9" t="b">
        <v>0</v>
      </c>
      <c r="CC41" s="8"/>
    </row>
    <row r="42" spans="1:81" ht="15" customHeight="1">
      <c r="A42" s="8"/>
      <c r="B42" s="1"/>
      <c r="C42" s="8"/>
      <c r="D42" s="846" t="s">
        <v>436</v>
      </c>
      <c r="E42" s="847"/>
      <c r="F42" s="841" t="s">
        <v>897</v>
      </c>
      <c r="G42" s="841"/>
      <c r="H42" s="841"/>
      <c r="I42" s="580">
        <v>12</v>
      </c>
      <c r="J42" s="580"/>
      <c r="K42" s="814">
        <f>IF(I42=0," ",INT(I42/2)+1)</f>
        <v>7</v>
      </c>
      <c r="L42" s="815"/>
      <c r="M42" s="611">
        <f t="shared" si="5"/>
        <v>11</v>
      </c>
      <c r="N42" s="612"/>
      <c r="O42" s="580">
        <v>1</v>
      </c>
      <c r="P42" s="580"/>
      <c r="Q42" s="774">
        <f>SUM($W$38:W42)+$Q$33</f>
        <v>7</v>
      </c>
      <c r="R42" s="774"/>
      <c r="S42" s="773">
        <f>SUM($Y$38:Y42)+$S$33</f>
        <v>1</v>
      </c>
      <c r="T42" s="773"/>
      <c r="U42" s="675">
        <f>SUM($AA$38:AA42)+$U$33</f>
        <v>1</v>
      </c>
      <c r="V42" s="675"/>
      <c r="W42" s="580">
        <v>0</v>
      </c>
      <c r="X42" s="580"/>
      <c r="Y42" s="580">
        <v>0</v>
      </c>
      <c r="Z42" s="580"/>
      <c r="AA42" s="580">
        <v>0</v>
      </c>
      <c r="AB42" s="580"/>
      <c r="AC42" s="8"/>
      <c r="AD42" s="575" t="s">
        <v>925</v>
      </c>
      <c r="AE42" s="575"/>
      <c r="AF42" s="575"/>
      <c r="AG42" s="575"/>
      <c r="AH42" s="575"/>
      <c r="AI42" s="575"/>
      <c r="AJ42" s="575"/>
      <c r="AK42" s="575"/>
      <c r="AL42" s="575"/>
      <c r="AM42" s="575"/>
      <c r="AN42" s="575"/>
      <c r="AO42" s="575"/>
      <c r="AP42" s="575"/>
      <c r="AQ42" s="575"/>
      <c r="AR42" s="575"/>
      <c r="AS42" s="568"/>
      <c r="AT42" s="568"/>
      <c r="AU42" s="568"/>
      <c r="AV42" s="568"/>
      <c r="AW42" s="568"/>
      <c r="AX42" s="568"/>
      <c r="AY42" s="570">
        <v>4</v>
      </c>
      <c r="AZ42" s="570"/>
      <c r="BA42" s="570"/>
      <c r="BB42" s="547" t="s">
        <v>923</v>
      </c>
      <c r="BC42" s="8"/>
      <c r="BD42" s="8"/>
      <c r="BE42" s="8"/>
      <c r="BF42" s="8"/>
      <c r="BG42" s="8"/>
      <c r="BH42" s="3"/>
      <c r="BI42" s="3"/>
      <c r="BJ42" s="3"/>
      <c r="BK42" s="3"/>
      <c r="BL42" s="3"/>
      <c r="BM42" s="3"/>
      <c r="BN42" s="3"/>
      <c r="BO42" s="1"/>
      <c r="BP42" s="1"/>
      <c r="BQ42" s="7"/>
      <c r="BR42" s="1"/>
      <c r="BS42" s="1" t="b">
        <v>0</v>
      </c>
      <c r="BT42" s="1"/>
      <c r="BU42" s="1"/>
      <c r="BV42" s="1"/>
      <c r="BW42" s="1"/>
      <c r="BX42" s="1"/>
      <c r="BY42" s="8"/>
      <c r="BZ42" s="8"/>
      <c r="CA42" s="8"/>
      <c r="CB42" s="9"/>
      <c r="CC42" s="8"/>
    </row>
    <row r="43" spans="1:81" ht="15" customHeight="1">
      <c r="A43" s="8"/>
      <c r="B43" s="1"/>
      <c r="C43" s="8"/>
      <c r="D43" s="846" t="s">
        <v>437</v>
      </c>
      <c r="E43" s="847"/>
      <c r="F43" s="841" t="s">
        <v>897</v>
      </c>
      <c r="G43" s="841"/>
      <c r="H43" s="841"/>
      <c r="I43" s="580">
        <v>12</v>
      </c>
      <c r="J43" s="580"/>
      <c r="K43" s="814">
        <f>IF(I43=0," ",INT(I43/2))</f>
        <v>6</v>
      </c>
      <c r="L43" s="815"/>
      <c r="M43" s="611">
        <f t="shared" si="5"/>
        <v>10</v>
      </c>
      <c r="N43" s="612"/>
      <c r="O43" s="580">
        <v>1</v>
      </c>
      <c r="P43" s="580"/>
      <c r="Q43" s="774">
        <f>SUM($W$38:W43)+$Q$33</f>
        <v>8</v>
      </c>
      <c r="R43" s="774"/>
      <c r="S43" s="773">
        <f>SUM($Y$38:Y43)+$S$33</f>
        <v>2</v>
      </c>
      <c r="T43" s="773"/>
      <c r="U43" s="675">
        <f>SUM($AA$38:AA43)+$U$33</f>
        <v>2</v>
      </c>
      <c r="V43" s="675"/>
      <c r="W43" s="580">
        <v>1</v>
      </c>
      <c r="X43" s="580"/>
      <c r="Y43" s="580">
        <v>1</v>
      </c>
      <c r="Z43" s="580"/>
      <c r="AA43" s="580">
        <v>1</v>
      </c>
      <c r="AB43" s="580"/>
      <c r="AC43" s="8"/>
      <c r="AD43" s="577"/>
      <c r="AE43" s="578"/>
      <c r="AF43" s="578"/>
      <c r="AG43" s="578"/>
      <c r="AH43" s="578"/>
      <c r="AI43" s="579"/>
      <c r="AJ43" s="575"/>
      <c r="AK43" s="575"/>
      <c r="AL43" s="575"/>
      <c r="AM43" s="575"/>
      <c r="AN43" s="575"/>
      <c r="AO43" s="575"/>
      <c r="AP43" s="575"/>
      <c r="AQ43" s="575"/>
      <c r="AR43" s="575"/>
      <c r="AS43" s="568"/>
      <c r="AT43" s="568"/>
      <c r="AU43" s="568"/>
      <c r="AV43" s="568"/>
      <c r="AW43" s="568"/>
      <c r="AX43" s="568"/>
      <c r="AY43" s="570">
        <v>4</v>
      </c>
      <c r="AZ43" s="570"/>
      <c r="BA43" s="570"/>
      <c r="BB43" s="547" t="s">
        <v>924</v>
      </c>
      <c r="BC43" s="8"/>
      <c r="BD43" s="8"/>
      <c r="BE43" s="8"/>
      <c r="BF43" s="8"/>
      <c r="BG43" s="8"/>
      <c r="BH43" s="3"/>
      <c r="BI43" s="3"/>
      <c r="BJ43" s="3"/>
      <c r="BK43" s="3"/>
      <c r="BL43" s="3"/>
      <c r="BM43" s="3"/>
      <c r="BN43" s="3"/>
      <c r="BO43" s="1"/>
      <c r="BP43" s="1"/>
      <c r="BQ43" s="14"/>
      <c r="BR43" s="15"/>
      <c r="BS43" s="15" t="b">
        <v>0</v>
      </c>
      <c r="BT43" s="15"/>
      <c r="BU43" s="15"/>
      <c r="BV43" s="15"/>
      <c r="BW43" s="15"/>
      <c r="BX43" s="15"/>
      <c r="BY43" s="16"/>
      <c r="BZ43" s="16"/>
      <c r="CA43" s="16"/>
      <c r="CB43" s="17"/>
      <c r="CC43" s="8"/>
    </row>
    <row r="44" spans="1:81" ht="15" customHeight="1">
      <c r="A44" s="8"/>
      <c r="B44" s="1"/>
      <c r="C44" s="3"/>
      <c r="D44" s="846" t="s">
        <v>438</v>
      </c>
      <c r="E44" s="847"/>
      <c r="F44" s="841" t="s">
        <v>897</v>
      </c>
      <c r="G44" s="841"/>
      <c r="H44" s="841"/>
      <c r="I44" s="580">
        <v>12</v>
      </c>
      <c r="J44" s="580"/>
      <c r="K44" s="814">
        <f>IF(I44=0," ",INT(I44/2)+1)</f>
        <v>7</v>
      </c>
      <c r="L44" s="815"/>
      <c r="M44" s="611">
        <f t="shared" si="5"/>
        <v>11</v>
      </c>
      <c r="N44" s="612"/>
      <c r="O44" s="580">
        <v>1</v>
      </c>
      <c r="P44" s="580"/>
      <c r="Q44" s="774">
        <f>SUM($W$38:W44)+$Q$33</f>
        <v>8</v>
      </c>
      <c r="R44" s="774"/>
      <c r="S44" s="773">
        <f>SUM($Y$38:Y44)+$S$33</f>
        <v>2</v>
      </c>
      <c r="T44" s="773"/>
      <c r="U44" s="675">
        <f>SUM($AA$38:AA44)+$U$33</f>
        <v>2</v>
      </c>
      <c r="V44" s="675"/>
      <c r="W44" s="580">
        <v>0</v>
      </c>
      <c r="X44" s="580"/>
      <c r="Y44" s="580">
        <v>0</v>
      </c>
      <c r="Z44" s="580"/>
      <c r="AA44" s="580">
        <v>0</v>
      </c>
      <c r="AB44" s="580"/>
      <c r="AC44" s="8"/>
      <c r="AD44" s="575" t="s">
        <v>920</v>
      </c>
      <c r="AE44" s="575"/>
      <c r="AF44" s="575"/>
      <c r="AG44" s="575"/>
      <c r="AH44" s="575"/>
      <c r="AI44" s="575"/>
      <c r="AJ44" s="575"/>
      <c r="AK44" s="575"/>
      <c r="AL44" s="575"/>
      <c r="AM44" s="575"/>
      <c r="AN44" s="575"/>
      <c r="AO44" s="575"/>
      <c r="AP44" s="575"/>
      <c r="AQ44" s="575"/>
      <c r="AR44" s="575"/>
      <c r="AS44" s="568"/>
      <c r="AT44" s="568"/>
      <c r="AU44" s="568"/>
      <c r="AV44" s="568"/>
      <c r="AW44" s="568"/>
      <c r="AX44" s="568"/>
      <c r="AY44" s="570">
        <v>4</v>
      </c>
      <c r="AZ44" s="570"/>
      <c r="BA44" s="570"/>
      <c r="BB44" s="547" t="s">
        <v>923</v>
      </c>
      <c r="BC44" s="8"/>
      <c r="BD44" s="8"/>
      <c r="BE44" s="8"/>
      <c r="BF44" s="8"/>
      <c r="BG44" s="8"/>
      <c r="BH44" s="3"/>
      <c r="BI44" s="3"/>
      <c r="BJ44" s="3"/>
      <c r="BK44" s="3"/>
      <c r="BL44" s="3"/>
      <c r="BM44" s="3"/>
      <c r="BN44" s="3"/>
      <c r="BO44" s="1"/>
      <c r="BP44" s="1"/>
      <c r="BQ44" s="1"/>
      <c r="BR44" s="1"/>
      <c r="BS44" s="1"/>
      <c r="BT44" s="1"/>
      <c r="BU44" s="1"/>
      <c r="BV44" s="1"/>
      <c r="BW44" s="1"/>
      <c r="BX44" s="1"/>
      <c r="BY44" s="1"/>
      <c r="BZ44" s="1"/>
      <c r="CA44" s="1"/>
      <c r="CB44" s="1"/>
      <c r="CC44" s="1"/>
    </row>
    <row r="45" spans="1:81" ht="15" customHeight="1">
      <c r="A45" s="8"/>
      <c r="B45" s="8"/>
      <c r="C45" s="8"/>
      <c r="D45" s="846" t="s">
        <v>439</v>
      </c>
      <c r="E45" s="847"/>
      <c r="F45" s="841" t="s">
        <v>897</v>
      </c>
      <c r="G45" s="841"/>
      <c r="H45" s="841"/>
      <c r="I45" s="580">
        <v>12</v>
      </c>
      <c r="J45" s="580"/>
      <c r="K45" s="814">
        <f>IF(I45=0," ",INT(I45/2))</f>
        <v>6</v>
      </c>
      <c r="L45" s="815"/>
      <c r="M45" s="611">
        <f t="shared" si="5"/>
        <v>10</v>
      </c>
      <c r="N45" s="612"/>
      <c r="O45" s="580">
        <v>1</v>
      </c>
      <c r="P45" s="580"/>
      <c r="Q45" s="774">
        <f>SUM($W$38:W45)+$Q$33</f>
        <v>9</v>
      </c>
      <c r="R45" s="774"/>
      <c r="S45" s="773">
        <f>SUM($Y$38:Y45)+$S$33</f>
        <v>2</v>
      </c>
      <c r="T45" s="773"/>
      <c r="U45" s="675">
        <f>SUM($AA$38:AA45)+$U$33</f>
        <v>2</v>
      </c>
      <c r="V45" s="675"/>
      <c r="W45" s="580">
        <v>1</v>
      </c>
      <c r="X45" s="580"/>
      <c r="Y45" s="580">
        <v>0</v>
      </c>
      <c r="Z45" s="580"/>
      <c r="AA45" s="580">
        <v>0</v>
      </c>
      <c r="AB45" s="580"/>
      <c r="AC45" s="8"/>
      <c r="AD45" s="577"/>
      <c r="AE45" s="578"/>
      <c r="AF45" s="578"/>
      <c r="AG45" s="578"/>
      <c r="AH45" s="578"/>
      <c r="AI45" s="579"/>
      <c r="AJ45" s="575"/>
      <c r="AK45" s="575"/>
      <c r="AL45" s="575"/>
      <c r="AM45" s="575"/>
      <c r="AN45" s="575"/>
      <c r="AO45" s="575"/>
      <c r="AP45" s="575"/>
      <c r="AQ45" s="575"/>
      <c r="AR45" s="575"/>
      <c r="AS45" s="568"/>
      <c r="AT45" s="568"/>
      <c r="AU45" s="568"/>
      <c r="AV45" s="568"/>
      <c r="AW45" s="568"/>
      <c r="AX45" s="568"/>
      <c r="AY45" s="570">
        <v>4</v>
      </c>
      <c r="AZ45" s="570"/>
      <c r="BA45" s="570"/>
      <c r="BB45" s="547" t="s">
        <v>923</v>
      </c>
      <c r="BC45" s="8"/>
      <c r="BD45" s="8"/>
      <c r="BE45" s="8"/>
      <c r="BF45" s="8"/>
      <c r="BG45" s="8"/>
      <c r="BH45" s="3"/>
      <c r="BI45" s="3"/>
      <c r="BJ45" s="3"/>
      <c r="BK45" s="3"/>
      <c r="BL45" s="3"/>
      <c r="BM45" s="3"/>
      <c r="BN45" s="3"/>
      <c r="BO45" s="1"/>
      <c r="BP45" s="1"/>
      <c r="BQ45" s="1"/>
      <c r="BR45" s="1"/>
      <c r="BS45" s="1"/>
      <c r="BT45" s="1"/>
      <c r="BU45" s="1"/>
      <c r="BV45" s="1"/>
      <c r="BW45" s="1"/>
      <c r="BX45" s="1"/>
      <c r="BY45" s="1"/>
      <c r="BZ45" s="1"/>
      <c r="CA45" s="1"/>
      <c r="CB45" s="1"/>
      <c r="CC45" s="1"/>
    </row>
    <row r="46" spans="1:81" ht="15" customHeight="1">
      <c r="A46" s="8"/>
      <c r="B46" s="8"/>
      <c r="C46" s="8"/>
      <c r="D46" s="846" t="s">
        <v>440</v>
      </c>
      <c r="E46" s="847"/>
      <c r="F46" s="841" t="s">
        <v>897</v>
      </c>
      <c r="G46" s="841"/>
      <c r="H46" s="841"/>
      <c r="I46" s="580">
        <v>12</v>
      </c>
      <c r="J46" s="580"/>
      <c r="K46" s="814">
        <f>IF(I46=0," ",INT(I46/2)+1)</f>
        <v>7</v>
      </c>
      <c r="L46" s="815"/>
      <c r="M46" s="611">
        <f t="shared" si="5"/>
        <v>11</v>
      </c>
      <c r="N46" s="612"/>
      <c r="O46" s="580">
        <v>1</v>
      </c>
      <c r="P46" s="580"/>
      <c r="Q46" s="774">
        <f>SUM($W$38:W46)+$Q$33</f>
        <v>9</v>
      </c>
      <c r="R46" s="774"/>
      <c r="S46" s="773">
        <f>SUM($Y$38:Y46)+$S$33</f>
        <v>3</v>
      </c>
      <c r="T46" s="773"/>
      <c r="U46" s="675">
        <f>SUM($AA$38:AA46)+$U$33</f>
        <v>3</v>
      </c>
      <c r="V46" s="675"/>
      <c r="W46" s="580">
        <v>0</v>
      </c>
      <c r="X46" s="580"/>
      <c r="Y46" s="580">
        <v>1</v>
      </c>
      <c r="Z46" s="580"/>
      <c r="AA46" s="580">
        <v>1</v>
      </c>
      <c r="AB46" s="580"/>
      <c r="AC46" s="8"/>
      <c r="AD46" s="575" t="s">
        <v>911</v>
      </c>
      <c r="AE46" s="575"/>
      <c r="AF46" s="575"/>
      <c r="AG46" s="575"/>
      <c r="AH46" s="575"/>
      <c r="AI46" s="575"/>
      <c r="AJ46" s="575"/>
      <c r="AK46" s="575"/>
      <c r="AL46" s="575"/>
      <c r="AM46" s="575"/>
      <c r="AN46" s="575"/>
      <c r="AO46" s="575"/>
      <c r="AP46" s="575"/>
      <c r="AQ46" s="575"/>
      <c r="AR46" s="575"/>
      <c r="AS46" s="568"/>
      <c r="AT46" s="568"/>
      <c r="AU46" s="568"/>
      <c r="AV46" s="568"/>
      <c r="AW46" s="568"/>
      <c r="AX46" s="568"/>
      <c r="AY46" s="570">
        <v>4</v>
      </c>
      <c r="AZ46" s="570"/>
      <c r="BA46" s="570"/>
      <c r="BB46" s="547" t="s">
        <v>924</v>
      </c>
      <c r="BC46" s="8"/>
      <c r="BD46" s="8"/>
      <c r="BE46" s="8"/>
      <c r="BF46" s="8"/>
      <c r="BG46" s="8"/>
      <c r="BH46" s="3"/>
      <c r="BI46" s="3"/>
      <c r="BJ46" s="3"/>
      <c r="BK46" s="3"/>
      <c r="BL46" s="3"/>
      <c r="BM46" s="3"/>
      <c r="BN46" s="3"/>
      <c r="BO46" s="1"/>
      <c r="BP46" s="1"/>
      <c r="BQ46" s="1"/>
      <c r="BR46" s="1"/>
      <c r="BS46" s="1"/>
      <c r="BT46" s="1"/>
      <c r="BU46" s="1"/>
      <c r="BV46" s="1"/>
      <c r="BW46" s="1"/>
      <c r="BX46" s="1"/>
      <c r="BY46" s="1"/>
      <c r="BZ46" s="1"/>
      <c r="CA46" s="1"/>
      <c r="CB46" s="1"/>
      <c r="CC46" s="1"/>
    </row>
    <row r="47" spans="1:81" ht="15" customHeight="1">
      <c r="A47" s="8"/>
      <c r="B47" s="8"/>
      <c r="C47" s="8"/>
      <c r="D47" s="846" t="s">
        <v>441</v>
      </c>
      <c r="E47" s="847"/>
      <c r="F47" s="841" t="s">
        <v>897</v>
      </c>
      <c r="G47" s="841"/>
      <c r="H47" s="841"/>
      <c r="I47" s="580">
        <v>12</v>
      </c>
      <c r="J47" s="580"/>
      <c r="K47" s="814">
        <f>IF(I47=0," ",INT(I47/2))</f>
        <v>6</v>
      </c>
      <c r="L47" s="815"/>
      <c r="M47" s="611">
        <f t="shared" si="5"/>
        <v>10</v>
      </c>
      <c r="N47" s="612"/>
      <c r="O47" s="580">
        <v>1</v>
      </c>
      <c r="P47" s="580"/>
      <c r="Q47" s="774">
        <f>SUM($W$38:W47)+$Q$33</f>
        <v>10</v>
      </c>
      <c r="R47" s="774"/>
      <c r="S47" s="773">
        <f>SUM($Y$38:Y47)+$S$33</f>
        <v>3</v>
      </c>
      <c r="T47" s="773"/>
      <c r="U47" s="675">
        <f>SUM($AA$38:AA47)+$U$33</f>
        <v>3</v>
      </c>
      <c r="V47" s="675"/>
      <c r="W47" s="580">
        <v>1</v>
      </c>
      <c r="X47" s="580"/>
      <c r="Y47" s="580">
        <v>0</v>
      </c>
      <c r="Z47" s="580"/>
      <c r="AA47" s="580">
        <v>0</v>
      </c>
      <c r="AB47" s="580"/>
      <c r="AC47" s="8"/>
      <c r="AD47" s="577"/>
      <c r="AE47" s="578"/>
      <c r="AF47" s="578"/>
      <c r="AG47" s="578"/>
      <c r="AH47" s="578"/>
      <c r="AI47" s="579"/>
      <c r="AJ47" s="575"/>
      <c r="AK47" s="575"/>
      <c r="AL47" s="575"/>
      <c r="AM47" s="575"/>
      <c r="AN47" s="575"/>
      <c r="AO47" s="575"/>
      <c r="AP47" s="575"/>
      <c r="AQ47" s="575"/>
      <c r="AR47" s="575"/>
      <c r="AS47" s="568"/>
      <c r="AT47" s="568"/>
      <c r="AU47" s="568"/>
      <c r="AV47" s="568"/>
      <c r="AW47" s="568"/>
      <c r="AX47" s="568"/>
      <c r="AY47" s="570">
        <v>4</v>
      </c>
      <c r="AZ47" s="570"/>
      <c r="BA47" s="570"/>
      <c r="BB47" s="547" t="s">
        <v>924</v>
      </c>
      <c r="BC47" s="8"/>
      <c r="BD47" s="8"/>
      <c r="BE47" s="8"/>
      <c r="BF47" s="8"/>
      <c r="BG47" s="8"/>
      <c r="BH47" s="3"/>
      <c r="BI47" s="3"/>
      <c r="BJ47" s="3"/>
      <c r="BK47" s="3"/>
      <c r="BL47" s="3"/>
      <c r="BM47" s="3"/>
      <c r="BN47" s="3"/>
      <c r="BO47" s="1"/>
      <c r="BP47" s="1"/>
      <c r="BQ47" s="1"/>
      <c r="BR47" s="1"/>
      <c r="BS47" s="1"/>
      <c r="BT47" s="1"/>
      <c r="BU47" s="1"/>
      <c r="BV47" s="1"/>
      <c r="BW47" s="1"/>
      <c r="BX47" s="1"/>
      <c r="BY47" s="1"/>
      <c r="BZ47" s="1"/>
      <c r="CA47" s="1"/>
      <c r="CB47" s="1"/>
      <c r="CC47" s="1"/>
    </row>
    <row r="48" spans="1:81" ht="15" customHeight="1">
      <c r="A48" s="8"/>
      <c r="B48" s="8"/>
      <c r="C48" s="8"/>
      <c r="D48" s="846" t="s">
        <v>442</v>
      </c>
      <c r="E48" s="847"/>
      <c r="F48" s="841" t="s">
        <v>897</v>
      </c>
      <c r="G48" s="841"/>
      <c r="H48" s="841"/>
      <c r="I48" s="580">
        <v>12</v>
      </c>
      <c r="J48" s="580"/>
      <c r="K48" s="814">
        <f>IF(I48=0," ",INT(I48/2)+1)</f>
        <v>7</v>
      </c>
      <c r="L48" s="815"/>
      <c r="M48" s="611">
        <f t="shared" si="5"/>
        <v>11</v>
      </c>
      <c r="N48" s="612"/>
      <c r="O48" s="580">
        <v>1</v>
      </c>
      <c r="P48" s="580"/>
      <c r="Q48" s="774">
        <f>SUM($W$38:W48)+$Q$33</f>
        <v>10</v>
      </c>
      <c r="R48" s="774"/>
      <c r="S48" s="773">
        <f>SUM($Y$38:Y48)+$S$33</f>
        <v>3</v>
      </c>
      <c r="T48" s="773"/>
      <c r="U48" s="675">
        <f>SUM($AA$38:AA48)+$U$33</f>
        <v>3</v>
      </c>
      <c r="V48" s="675"/>
      <c r="W48" s="580">
        <v>0</v>
      </c>
      <c r="X48" s="580"/>
      <c r="Y48" s="580">
        <v>0</v>
      </c>
      <c r="Z48" s="580"/>
      <c r="AA48" s="580">
        <v>0</v>
      </c>
      <c r="AB48" s="580"/>
      <c r="AC48" s="8"/>
      <c r="AD48" s="575" t="s">
        <v>926</v>
      </c>
      <c r="AE48" s="575"/>
      <c r="AF48" s="575"/>
      <c r="AG48" s="575"/>
      <c r="AH48" s="575"/>
      <c r="AI48" s="575"/>
      <c r="AJ48" s="575"/>
      <c r="AK48" s="575"/>
      <c r="AL48" s="575"/>
      <c r="AM48" s="575"/>
      <c r="AN48" s="575"/>
      <c r="AO48" s="575"/>
      <c r="AP48" s="575"/>
      <c r="AQ48" s="575"/>
      <c r="AR48" s="575"/>
      <c r="AS48" s="568"/>
      <c r="AT48" s="568"/>
      <c r="AU48" s="568"/>
      <c r="AV48" s="568"/>
      <c r="AW48" s="568"/>
      <c r="AX48" s="568"/>
      <c r="AY48" s="570">
        <v>4</v>
      </c>
      <c r="AZ48" s="570"/>
      <c r="BA48" s="570"/>
      <c r="BB48" s="547" t="s">
        <v>923</v>
      </c>
      <c r="BC48" s="8"/>
      <c r="BD48" s="8"/>
      <c r="BE48" s="8"/>
      <c r="BF48" s="8"/>
      <c r="BG48" s="8"/>
      <c r="BH48" s="3"/>
      <c r="BI48" s="3"/>
      <c r="BJ48" s="3"/>
      <c r="BK48" s="3"/>
      <c r="BL48" s="3"/>
      <c r="BM48" s="3"/>
      <c r="BN48" s="3"/>
      <c r="BO48" s="8"/>
      <c r="BP48" s="8"/>
      <c r="BQ48" s="8"/>
      <c r="BR48" s="8"/>
      <c r="BS48" s="8"/>
      <c r="BT48" s="8"/>
      <c r="BU48" s="8"/>
      <c r="BV48" s="8"/>
      <c r="BW48" s="8"/>
      <c r="BX48" s="8"/>
      <c r="BY48" s="8"/>
      <c r="BZ48" s="8"/>
      <c r="CA48" s="8"/>
      <c r="CB48" s="8"/>
      <c r="CC48" s="8"/>
    </row>
    <row r="49" spans="1:81" ht="15" customHeight="1">
      <c r="A49" s="8"/>
      <c r="B49" s="8"/>
      <c r="C49" s="8"/>
      <c r="D49" s="846" t="s">
        <v>443</v>
      </c>
      <c r="E49" s="847"/>
      <c r="F49" s="841" t="s">
        <v>922</v>
      </c>
      <c r="G49" s="841"/>
      <c r="H49" s="841"/>
      <c r="I49" s="580"/>
      <c r="J49" s="580"/>
      <c r="K49" s="814" t="str">
        <f>IF(I49=0," ",INT(I49/2))</f>
        <v> </v>
      </c>
      <c r="L49" s="815"/>
      <c r="M49" s="611">
        <v>11</v>
      </c>
      <c r="N49" s="612"/>
      <c r="O49" s="580"/>
      <c r="P49" s="580"/>
      <c r="Q49" s="774">
        <f>SUM($W$38:W49)+$Q$33</f>
        <v>10</v>
      </c>
      <c r="R49" s="774"/>
      <c r="S49" s="773">
        <f>SUM($Y$38:Y49)+$S$33</f>
        <v>3</v>
      </c>
      <c r="T49" s="773"/>
      <c r="U49" s="675">
        <f>SUM($AA$38:AA49)+$U$33</f>
        <v>3</v>
      </c>
      <c r="V49" s="675"/>
      <c r="W49" s="580"/>
      <c r="X49" s="580"/>
      <c r="Y49" s="580"/>
      <c r="Z49" s="580"/>
      <c r="AA49" s="580"/>
      <c r="AB49" s="580"/>
      <c r="AC49" s="8"/>
      <c r="AD49" s="577"/>
      <c r="AE49" s="578"/>
      <c r="AF49" s="578"/>
      <c r="AG49" s="578"/>
      <c r="AH49" s="578"/>
      <c r="AI49" s="579"/>
      <c r="AJ49" s="575"/>
      <c r="AK49" s="575"/>
      <c r="AL49" s="575"/>
      <c r="AM49" s="575"/>
      <c r="AN49" s="575"/>
      <c r="AO49" s="575"/>
      <c r="AP49" s="575"/>
      <c r="AQ49" s="575"/>
      <c r="AR49" s="575"/>
      <c r="AS49" s="568"/>
      <c r="AT49" s="568"/>
      <c r="AU49" s="568"/>
      <c r="AV49" s="568"/>
      <c r="AW49" s="568"/>
      <c r="AX49" s="568"/>
      <c r="AY49" s="570"/>
      <c r="AZ49" s="570"/>
      <c r="BA49" s="570"/>
      <c r="BB49" s="547"/>
      <c r="BC49" s="8"/>
      <c r="BD49" s="8"/>
      <c r="BE49" s="8"/>
      <c r="BF49" s="8"/>
      <c r="BG49" s="8"/>
      <c r="BH49" s="3"/>
      <c r="BI49" s="3"/>
      <c r="BJ49" s="3"/>
      <c r="BK49" s="3"/>
      <c r="BL49" s="3"/>
      <c r="BM49" s="3"/>
      <c r="BN49" s="3"/>
      <c r="BO49" s="8"/>
      <c r="BP49" s="8"/>
      <c r="BQ49" s="8"/>
      <c r="BR49" s="8"/>
      <c r="BS49" s="8"/>
      <c r="BT49" s="8"/>
      <c r="BU49" s="8"/>
      <c r="BV49" s="8"/>
      <c r="BW49" s="8"/>
      <c r="BX49" s="8"/>
      <c r="BY49" s="8"/>
      <c r="BZ49" s="8"/>
      <c r="CA49" s="8"/>
      <c r="CB49" s="8"/>
      <c r="CC49" s="8"/>
    </row>
    <row r="50" spans="1:81" ht="15" customHeight="1">
      <c r="A50" s="8"/>
      <c r="B50" s="8"/>
      <c r="C50" s="8"/>
      <c r="D50" s="846" t="s">
        <v>444</v>
      </c>
      <c r="E50" s="847"/>
      <c r="F50" s="841"/>
      <c r="G50" s="841"/>
      <c r="H50" s="841"/>
      <c r="I50" s="580"/>
      <c r="J50" s="580"/>
      <c r="K50" s="814" t="str">
        <f>IF(I50=0," ",INT(I50/2)+1)</f>
        <v> </v>
      </c>
      <c r="L50" s="815"/>
      <c r="M50" s="611" t="str">
        <f t="shared" si="5"/>
        <v> </v>
      </c>
      <c r="N50" s="612"/>
      <c r="O50" s="580"/>
      <c r="P50" s="580"/>
      <c r="Q50" s="774">
        <f>SUM($W$38:W50)+$Q$33</f>
        <v>10</v>
      </c>
      <c r="R50" s="774"/>
      <c r="S50" s="773">
        <f>SUM($Y$38:Y50)+$S$33</f>
        <v>3</v>
      </c>
      <c r="T50" s="773"/>
      <c r="U50" s="675">
        <f>SUM($AA$38:AA50)+$U$33</f>
        <v>3</v>
      </c>
      <c r="V50" s="675"/>
      <c r="W50" s="580"/>
      <c r="X50" s="580"/>
      <c r="Y50" s="580"/>
      <c r="Z50" s="580"/>
      <c r="AA50" s="580"/>
      <c r="AB50" s="580"/>
      <c r="AC50" s="8"/>
      <c r="AD50" s="575"/>
      <c r="AE50" s="575"/>
      <c r="AF50" s="575"/>
      <c r="AG50" s="575"/>
      <c r="AH50" s="575"/>
      <c r="AI50" s="575"/>
      <c r="AJ50" s="575"/>
      <c r="AK50" s="575"/>
      <c r="AL50" s="575"/>
      <c r="AM50" s="575"/>
      <c r="AN50" s="575"/>
      <c r="AO50" s="575"/>
      <c r="AP50" s="575"/>
      <c r="AQ50" s="575"/>
      <c r="AR50" s="575"/>
      <c r="AS50" s="568"/>
      <c r="AT50" s="568"/>
      <c r="AU50" s="568"/>
      <c r="AV50" s="568"/>
      <c r="AW50" s="568"/>
      <c r="AX50" s="568"/>
      <c r="AY50" s="570"/>
      <c r="AZ50" s="570"/>
      <c r="BA50" s="570"/>
      <c r="BB50" s="547"/>
      <c r="BC50" s="8"/>
      <c r="BD50" s="8"/>
      <c r="BE50" s="8"/>
      <c r="BF50" s="8"/>
      <c r="BG50" s="8"/>
      <c r="BH50" s="3"/>
      <c r="BI50" s="3"/>
      <c r="BJ50" s="3"/>
      <c r="BK50" s="3"/>
      <c r="BL50" s="3"/>
      <c r="BM50" s="3"/>
      <c r="BN50" s="3"/>
      <c r="BO50" s="8"/>
      <c r="BP50" s="8"/>
      <c r="BQ50" s="8"/>
      <c r="BR50" s="8"/>
      <c r="BS50" s="8"/>
      <c r="BT50" s="8"/>
      <c r="BU50" s="8"/>
      <c r="BV50" s="8"/>
      <c r="BW50" s="8"/>
      <c r="BX50" s="8"/>
      <c r="BY50" s="8"/>
      <c r="BZ50" s="8"/>
      <c r="CA50" s="8"/>
      <c r="CB50" s="8"/>
      <c r="CC50" s="8"/>
    </row>
    <row r="51" spans="1:81" ht="15" customHeight="1">
      <c r="A51" s="8"/>
      <c r="B51" s="8"/>
      <c r="C51" s="8"/>
      <c r="D51" s="846" t="s">
        <v>445</v>
      </c>
      <c r="E51" s="847"/>
      <c r="F51" s="841"/>
      <c r="G51" s="841"/>
      <c r="H51" s="841"/>
      <c r="I51" s="580"/>
      <c r="J51" s="580"/>
      <c r="K51" s="814" t="str">
        <f>IF(I51=0," ",INT(I51/2))</f>
        <v> </v>
      </c>
      <c r="L51" s="815"/>
      <c r="M51" s="611" t="str">
        <f t="shared" si="5"/>
        <v> </v>
      </c>
      <c r="N51" s="612"/>
      <c r="O51" s="580"/>
      <c r="P51" s="580"/>
      <c r="Q51" s="774">
        <f>SUM($W$38:W51)+$Q$33</f>
        <v>10</v>
      </c>
      <c r="R51" s="774"/>
      <c r="S51" s="773">
        <f>SUM($Y$38:Y51)+$S$33</f>
        <v>3</v>
      </c>
      <c r="T51" s="773"/>
      <c r="U51" s="675">
        <f>SUM($AA$38:AA51)+$U$33</f>
        <v>3</v>
      </c>
      <c r="V51" s="675"/>
      <c r="W51" s="580"/>
      <c r="X51" s="580"/>
      <c r="Y51" s="580"/>
      <c r="Z51" s="580"/>
      <c r="AA51" s="580"/>
      <c r="AB51" s="580"/>
      <c r="AC51" s="8"/>
      <c r="AD51" s="577"/>
      <c r="AE51" s="578"/>
      <c r="AF51" s="578"/>
      <c r="AG51" s="578"/>
      <c r="AH51" s="578"/>
      <c r="AI51" s="579"/>
      <c r="AJ51" s="575"/>
      <c r="AK51" s="575"/>
      <c r="AL51" s="575"/>
      <c r="AM51" s="575"/>
      <c r="AN51" s="575"/>
      <c r="AO51" s="575"/>
      <c r="AP51" s="575"/>
      <c r="AQ51" s="575"/>
      <c r="AR51" s="575"/>
      <c r="AS51" s="568"/>
      <c r="AT51" s="568"/>
      <c r="AU51" s="568"/>
      <c r="AV51" s="568"/>
      <c r="AW51" s="568"/>
      <c r="AX51" s="568"/>
      <c r="AY51" s="570"/>
      <c r="AZ51" s="570"/>
      <c r="BA51" s="570"/>
      <c r="BB51" s="547"/>
      <c r="BC51" s="8"/>
      <c r="BD51" s="8"/>
      <c r="BE51" s="8"/>
      <c r="BF51" s="8"/>
      <c r="BG51" s="8"/>
      <c r="BH51" s="3"/>
      <c r="BI51" s="3"/>
      <c r="BJ51" s="3"/>
      <c r="BK51" s="3"/>
      <c r="BL51" s="3"/>
      <c r="BM51" s="3"/>
      <c r="BN51" s="3"/>
      <c r="BO51" s="8"/>
      <c r="BP51" s="8"/>
      <c r="BQ51" s="8"/>
      <c r="BR51" s="8"/>
      <c r="BS51" s="8"/>
      <c r="BT51" s="8"/>
      <c r="BU51" s="8"/>
      <c r="BV51" s="8"/>
      <c r="BW51" s="8"/>
      <c r="BX51" s="8"/>
      <c r="BY51" s="8"/>
      <c r="BZ51" s="8"/>
      <c r="CA51" s="8"/>
      <c r="CB51" s="8"/>
      <c r="CC51" s="8"/>
    </row>
    <row r="52" spans="1:81" ht="15" customHeight="1">
      <c r="A52" s="8"/>
      <c r="B52" s="8"/>
      <c r="C52" s="8"/>
      <c r="D52" s="846" t="s">
        <v>446</v>
      </c>
      <c r="E52" s="847"/>
      <c r="F52" s="841"/>
      <c r="G52" s="841"/>
      <c r="H52" s="841"/>
      <c r="I52" s="580"/>
      <c r="J52" s="580"/>
      <c r="K52" s="814" t="str">
        <f>IF(I52=0," ",INT(I52/2)+1)</f>
        <v> </v>
      </c>
      <c r="L52" s="815"/>
      <c r="M52" s="611" t="str">
        <f t="shared" si="5"/>
        <v> </v>
      </c>
      <c r="N52" s="612"/>
      <c r="O52" s="580"/>
      <c r="P52" s="580"/>
      <c r="Q52" s="774">
        <f>SUM($W$38:W52)+$Q$33</f>
        <v>10</v>
      </c>
      <c r="R52" s="774"/>
      <c r="S52" s="773">
        <f>SUM($Y$38:Y52)+$S$33</f>
        <v>3</v>
      </c>
      <c r="T52" s="773"/>
      <c r="U52" s="675">
        <f>SUM($AA$38:AA52)+$U$33</f>
        <v>3</v>
      </c>
      <c r="V52" s="675"/>
      <c r="W52" s="580"/>
      <c r="X52" s="580"/>
      <c r="Y52" s="580"/>
      <c r="Z52" s="580"/>
      <c r="AA52" s="580"/>
      <c r="AB52" s="580"/>
      <c r="AC52" s="8"/>
      <c r="AD52" s="575"/>
      <c r="AE52" s="575"/>
      <c r="AF52" s="575"/>
      <c r="AG52" s="575"/>
      <c r="AH52" s="575"/>
      <c r="AI52" s="575"/>
      <c r="AJ52" s="575"/>
      <c r="AK52" s="575"/>
      <c r="AL52" s="575"/>
      <c r="AM52" s="575"/>
      <c r="AN52" s="575"/>
      <c r="AO52" s="575"/>
      <c r="AP52" s="575"/>
      <c r="AQ52" s="575"/>
      <c r="AR52" s="575"/>
      <c r="AS52" s="568"/>
      <c r="AT52" s="568"/>
      <c r="AU52" s="568"/>
      <c r="AV52" s="568"/>
      <c r="AW52" s="568"/>
      <c r="AX52" s="568"/>
      <c r="AY52" s="570"/>
      <c r="AZ52" s="570"/>
      <c r="BA52" s="570"/>
      <c r="BB52" s="547"/>
      <c r="BC52" s="8"/>
      <c r="BD52" s="8"/>
      <c r="BE52" s="8"/>
      <c r="BF52" s="8"/>
      <c r="BG52" s="8"/>
      <c r="BH52" s="3"/>
      <c r="BI52" s="3"/>
      <c r="BJ52" s="3"/>
      <c r="BK52" s="3"/>
      <c r="BL52" s="3"/>
      <c r="BM52" s="3"/>
      <c r="BN52" s="3"/>
      <c r="BO52" s="8"/>
      <c r="BP52" s="8"/>
      <c r="BQ52" s="8"/>
      <c r="BR52" s="8"/>
      <c r="BS52" s="8"/>
      <c r="BT52" s="8"/>
      <c r="BU52" s="8"/>
      <c r="BV52" s="8"/>
      <c r="BW52" s="8"/>
      <c r="BX52" s="8"/>
      <c r="BY52" s="8"/>
      <c r="BZ52" s="8"/>
      <c r="CA52" s="8"/>
      <c r="CB52" s="8"/>
      <c r="CC52" s="8"/>
    </row>
    <row r="53" spans="1:81" ht="15" customHeight="1">
      <c r="A53" s="8"/>
      <c r="B53" s="8"/>
      <c r="C53" s="8"/>
      <c r="D53" s="846" t="s">
        <v>447</v>
      </c>
      <c r="E53" s="847"/>
      <c r="F53" s="841"/>
      <c r="G53" s="841"/>
      <c r="H53" s="841"/>
      <c r="I53" s="580"/>
      <c r="J53" s="580"/>
      <c r="K53" s="814" t="str">
        <f>IF(I53=0," ",INT(I53/2))</f>
        <v> </v>
      </c>
      <c r="L53" s="815"/>
      <c r="M53" s="611" t="str">
        <f t="shared" si="5"/>
        <v> </v>
      </c>
      <c r="N53" s="612"/>
      <c r="O53" s="580"/>
      <c r="P53" s="580"/>
      <c r="Q53" s="774">
        <f>SUM($W$38:W53)+$Q$33</f>
        <v>10</v>
      </c>
      <c r="R53" s="774"/>
      <c r="S53" s="773">
        <f>SUM($Y$38:Y53)+$S$33</f>
        <v>3</v>
      </c>
      <c r="T53" s="773"/>
      <c r="U53" s="675">
        <f>SUM($AA$38:AA53)+$U$33</f>
        <v>3</v>
      </c>
      <c r="V53" s="675"/>
      <c r="W53" s="580"/>
      <c r="X53" s="580"/>
      <c r="Y53" s="580"/>
      <c r="Z53" s="580"/>
      <c r="AA53" s="580"/>
      <c r="AB53" s="580"/>
      <c r="AC53" s="8"/>
      <c r="AD53" s="577"/>
      <c r="AE53" s="578"/>
      <c r="AF53" s="578"/>
      <c r="AG53" s="578"/>
      <c r="AH53" s="578"/>
      <c r="AI53" s="579"/>
      <c r="AJ53" s="575"/>
      <c r="AK53" s="575"/>
      <c r="AL53" s="575"/>
      <c r="AM53" s="575"/>
      <c r="AN53" s="575"/>
      <c r="AO53" s="575"/>
      <c r="AP53" s="575"/>
      <c r="AQ53" s="575"/>
      <c r="AR53" s="575"/>
      <c r="AS53" s="568"/>
      <c r="AT53" s="568"/>
      <c r="AU53" s="568"/>
      <c r="AV53" s="568"/>
      <c r="AW53" s="568"/>
      <c r="AX53" s="568"/>
      <c r="AY53" s="570"/>
      <c r="AZ53" s="570"/>
      <c r="BA53" s="570"/>
      <c r="BB53" s="547"/>
      <c r="BC53" s="8"/>
      <c r="BD53" s="8"/>
      <c r="BE53" s="8"/>
      <c r="BF53" s="8"/>
      <c r="BG53" s="8"/>
      <c r="BH53" s="8"/>
      <c r="BI53" s="8"/>
      <c r="BJ53" s="8"/>
      <c r="BK53" s="8"/>
      <c r="BL53" s="3"/>
      <c r="BM53" s="3"/>
      <c r="BN53" s="3"/>
      <c r="BO53" s="8"/>
      <c r="BP53" s="8"/>
      <c r="BQ53" s="8"/>
      <c r="BR53" s="8"/>
      <c r="BS53" s="8"/>
      <c r="BT53" s="8"/>
      <c r="BU53" s="8"/>
      <c r="BV53" s="8"/>
      <c r="BW53" s="8"/>
      <c r="BX53" s="8"/>
      <c r="BY53" s="8"/>
      <c r="BZ53" s="8"/>
      <c r="CA53" s="8"/>
      <c r="CB53" s="8"/>
      <c r="CC53" s="8"/>
    </row>
    <row r="54" spans="1:81" ht="15" customHeight="1">
      <c r="A54" s="8"/>
      <c r="B54" s="8"/>
      <c r="C54" s="8"/>
      <c r="D54" s="846" t="s">
        <v>448</v>
      </c>
      <c r="E54" s="847"/>
      <c r="F54" s="841"/>
      <c r="G54" s="841"/>
      <c r="H54" s="841"/>
      <c r="I54" s="580"/>
      <c r="J54" s="580"/>
      <c r="K54" s="814" t="str">
        <f>IF(I54=0," ",INT(I54/2)+1)</f>
        <v> </v>
      </c>
      <c r="L54" s="815"/>
      <c r="M54" s="611" t="str">
        <f t="shared" si="5"/>
        <v> </v>
      </c>
      <c r="N54" s="612"/>
      <c r="O54" s="580"/>
      <c r="P54" s="580"/>
      <c r="Q54" s="774">
        <f>SUM($W$38:W54)+$Q$33</f>
        <v>10</v>
      </c>
      <c r="R54" s="774"/>
      <c r="S54" s="773">
        <f>SUM($Y$38:Y54)+$S$33</f>
        <v>3</v>
      </c>
      <c r="T54" s="773"/>
      <c r="U54" s="675">
        <f>SUM($AA$38:AA54)+$U$33</f>
        <v>3</v>
      </c>
      <c r="V54" s="675"/>
      <c r="W54" s="580"/>
      <c r="X54" s="580"/>
      <c r="Y54" s="580"/>
      <c r="Z54" s="580"/>
      <c r="AA54" s="580"/>
      <c r="AB54" s="580"/>
      <c r="AC54" s="8"/>
      <c r="AD54" s="575"/>
      <c r="AE54" s="575"/>
      <c r="AF54" s="575"/>
      <c r="AG54" s="575"/>
      <c r="AH54" s="575"/>
      <c r="AI54" s="575"/>
      <c r="AJ54" s="575"/>
      <c r="AK54" s="575"/>
      <c r="AL54" s="575"/>
      <c r="AM54" s="575"/>
      <c r="AN54" s="575"/>
      <c r="AO54" s="575"/>
      <c r="AP54" s="575"/>
      <c r="AQ54" s="575"/>
      <c r="AR54" s="575"/>
      <c r="AS54" s="568"/>
      <c r="AT54" s="568"/>
      <c r="AU54" s="568"/>
      <c r="AV54" s="568"/>
      <c r="AW54" s="568"/>
      <c r="AX54" s="568"/>
      <c r="AY54" s="570"/>
      <c r="AZ54" s="570"/>
      <c r="BA54" s="570"/>
      <c r="BB54" s="547"/>
      <c r="BC54" s="8"/>
      <c r="BD54" s="8"/>
      <c r="BE54" s="8"/>
      <c r="BF54" s="8"/>
      <c r="BG54" s="8"/>
      <c r="BH54" s="8"/>
      <c r="BI54" s="8"/>
      <c r="BJ54" s="8"/>
      <c r="BK54" s="8"/>
      <c r="BL54" s="3"/>
      <c r="BM54" s="3"/>
      <c r="BN54" s="3"/>
      <c r="BO54" s="8"/>
      <c r="BP54" s="8"/>
      <c r="BQ54" s="8"/>
      <c r="BR54" s="8"/>
      <c r="BS54" s="8"/>
      <c r="BT54" s="8"/>
      <c r="BU54" s="8"/>
      <c r="BV54" s="8"/>
      <c r="BW54" s="8"/>
      <c r="BX54" s="8"/>
      <c r="BY54" s="8"/>
      <c r="BZ54" s="8"/>
      <c r="CA54" s="8"/>
      <c r="CB54" s="8"/>
      <c r="CC54" s="8"/>
    </row>
    <row r="55" spans="1:81" ht="15" customHeight="1">
      <c r="A55" s="8"/>
      <c r="B55" s="8"/>
      <c r="C55" s="8"/>
      <c r="D55" s="846" t="s">
        <v>449</v>
      </c>
      <c r="E55" s="847"/>
      <c r="F55" s="841"/>
      <c r="G55" s="841"/>
      <c r="H55" s="841"/>
      <c r="I55" s="580"/>
      <c r="J55" s="580"/>
      <c r="K55" s="814" t="str">
        <f>IF(I55=0," ",INT(I55/2))</f>
        <v> </v>
      </c>
      <c r="L55" s="815"/>
      <c r="M55" s="611" t="str">
        <f t="shared" si="5"/>
        <v> </v>
      </c>
      <c r="N55" s="612"/>
      <c r="O55" s="580"/>
      <c r="P55" s="580"/>
      <c r="Q55" s="774">
        <f>SUM($W$38:W55)+$Q$33</f>
        <v>10</v>
      </c>
      <c r="R55" s="774"/>
      <c r="S55" s="773">
        <f>SUM($Y$38:Y55)+$S$33</f>
        <v>3</v>
      </c>
      <c r="T55" s="773"/>
      <c r="U55" s="675">
        <f>SUM($AA$38:AA55)+$U$33</f>
        <v>3</v>
      </c>
      <c r="V55" s="675"/>
      <c r="W55" s="580"/>
      <c r="X55" s="580"/>
      <c r="Y55" s="580"/>
      <c r="Z55" s="580"/>
      <c r="AA55" s="580"/>
      <c r="AB55" s="580"/>
      <c r="AC55" s="8"/>
      <c r="AD55" s="577"/>
      <c r="AE55" s="578"/>
      <c r="AF55" s="578"/>
      <c r="AG55" s="578"/>
      <c r="AH55" s="578"/>
      <c r="AI55" s="579"/>
      <c r="AJ55" s="575"/>
      <c r="AK55" s="575"/>
      <c r="AL55" s="575"/>
      <c r="AM55" s="575"/>
      <c r="AN55" s="575"/>
      <c r="AO55" s="575"/>
      <c r="AP55" s="575"/>
      <c r="AQ55" s="575"/>
      <c r="AR55" s="575"/>
      <c r="AS55" s="568"/>
      <c r="AT55" s="568"/>
      <c r="AU55" s="568"/>
      <c r="AV55" s="568"/>
      <c r="AW55" s="568"/>
      <c r="AX55" s="568"/>
      <c r="AY55" s="570"/>
      <c r="AZ55" s="570"/>
      <c r="BA55" s="570"/>
      <c r="BB55" s="547"/>
      <c r="BC55" s="8"/>
      <c r="BD55" s="8"/>
      <c r="BE55" s="8"/>
      <c r="BF55" s="8"/>
      <c r="BG55" s="8"/>
      <c r="BH55" s="8"/>
      <c r="BI55" s="8"/>
      <c r="BJ55" s="8"/>
      <c r="BK55" s="8"/>
      <c r="BL55" s="3"/>
      <c r="BM55" s="3"/>
      <c r="BN55" s="3"/>
      <c r="BO55" s="8"/>
      <c r="BP55" s="8"/>
      <c r="BQ55" s="8"/>
      <c r="BR55" s="8"/>
      <c r="BS55" s="8"/>
      <c r="BT55" s="8"/>
      <c r="BU55" s="8"/>
      <c r="BV55" s="8"/>
      <c r="BW55" s="8"/>
      <c r="BX55" s="8"/>
      <c r="BY55" s="8"/>
      <c r="BZ55" s="8"/>
      <c r="CA55" s="8"/>
      <c r="CB55" s="8"/>
      <c r="CC55" s="8"/>
    </row>
    <row r="56" spans="1:81" ht="15" customHeight="1">
      <c r="A56" s="8"/>
      <c r="B56" s="8"/>
      <c r="C56" s="8"/>
      <c r="D56" s="846" t="s">
        <v>450</v>
      </c>
      <c r="E56" s="847"/>
      <c r="F56" s="841"/>
      <c r="G56" s="841"/>
      <c r="H56" s="841"/>
      <c r="I56" s="580"/>
      <c r="J56" s="580"/>
      <c r="K56" s="814" t="str">
        <f>IF(I56=0," ",INT(I56/2)+1)</f>
        <v> </v>
      </c>
      <c r="L56" s="815"/>
      <c r="M56" s="611" t="str">
        <f t="shared" si="5"/>
        <v> </v>
      </c>
      <c r="N56" s="612"/>
      <c r="O56" s="580"/>
      <c r="P56" s="580"/>
      <c r="Q56" s="774">
        <f>SUM($W$38:W56)+$Q$33</f>
        <v>10</v>
      </c>
      <c r="R56" s="774"/>
      <c r="S56" s="773">
        <f>SUM($Y$38:Y56)+$S$33</f>
        <v>3</v>
      </c>
      <c r="T56" s="773"/>
      <c r="U56" s="675">
        <f>SUM($AA$38:AA56)+$U$33</f>
        <v>3</v>
      </c>
      <c r="V56" s="675"/>
      <c r="W56" s="580"/>
      <c r="X56" s="580"/>
      <c r="Y56" s="580"/>
      <c r="Z56" s="580"/>
      <c r="AA56" s="783"/>
      <c r="AB56" s="783"/>
      <c r="AC56" s="8"/>
      <c r="AD56" s="575"/>
      <c r="AE56" s="575"/>
      <c r="AF56" s="575"/>
      <c r="AG56" s="575"/>
      <c r="AH56" s="575"/>
      <c r="AI56" s="575"/>
      <c r="AJ56" s="575"/>
      <c r="AK56" s="575"/>
      <c r="AL56" s="575"/>
      <c r="AM56" s="575"/>
      <c r="AN56" s="575"/>
      <c r="AO56" s="575"/>
      <c r="AP56" s="575"/>
      <c r="AQ56" s="575"/>
      <c r="AR56" s="575"/>
      <c r="AS56" s="568"/>
      <c r="AT56" s="568"/>
      <c r="AU56" s="568"/>
      <c r="AV56" s="568"/>
      <c r="AW56" s="568"/>
      <c r="AX56" s="568"/>
      <c r="AY56" s="570"/>
      <c r="AZ56" s="570"/>
      <c r="BA56" s="570"/>
      <c r="BB56" s="547"/>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row>
    <row r="57" spans="1:81" ht="15" customHeight="1">
      <c r="A57" s="8"/>
      <c r="B57" s="8"/>
      <c r="C57" s="8"/>
      <c r="D57" s="850" t="s">
        <v>451</v>
      </c>
      <c r="E57" s="851"/>
      <c r="F57" s="841"/>
      <c r="G57" s="841"/>
      <c r="H57" s="841"/>
      <c r="I57" s="580"/>
      <c r="J57" s="580"/>
      <c r="K57" s="853" t="str">
        <f>IF(I57=0," ",INT(I57/2))</f>
        <v> </v>
      </c>
      <c r="L57" s="781"/>
      <c r="M57" s="611" t="str">
        <f t="shared" si="5"/>
        <v> </v>
      </c>
      <c r="N57" s="612"/>
      <c r="O57" s="580"/>
      <c r="P57" s="580"/>
      <c r="Q57" s="770">
        <f>SUM($W$38:W57)+$Q$33</f>
        <v>10</v>
      </c>
      <c r="R57" s="770"/>
      <c r="S57" s="772">
        <f>SUM($Y$38:Y57)+$S$33</f>
        <v>3</v>
      </c>
      <c r="T57" s="772"/>
      <c r="U57" s="771">
        <f>SUM($AA$38:AA57)+$U$33</f>
        <v>3</v>
      </c>
      <c r="V57" s="771"/>
      <c r="W57" s="580"/>
      <c r="X57" s="580"/>
      <c r="Y57" s="580"/>
      <c r="Z57" s="580"/>
      <c r="AA57" s="580"/>
      <c r="AB57" s="580"/>
      <c r="AC57" s="8"/>
      <c r="AD57" s="577"/>
      <c r="AE57" s="578"/>
      <c r="AF57" s="578"/>
      <c r="AG57" s="578"/>
      <c r="AH57" s="578"/>
      <c r="AI57" s="579"/>
      <c r="AJ57" s="575"/>
      <c r="AK57" s="575"/>
      <c r="AL57" s="575"/>
      <c r="AM57" s="575"/>
      <c r="AN57" s="575"/>
      <c r="AO57" s="575"/>
      <c r="AP57" s="575"/>
      <c r="AQ57" s="575"/>
      <c r="AR57" s="575"/>
      <c r="AS57" s="568"/>
      <c r="AT57" s="568"/>
      <c r="AU57" s="568"/>
      <c r="AV57" s="568"/>
      <c r="AW57" s="568"/>
      <c r="AX57" s="568"/>
      <c r="AY57" s="570"/>
      <c r="AZ57" s="570"/>
      <c r="BA57" s="570"/>
      <c r="BB57" s="547"/>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row>
    <row r="58" spans="1:81" ht="3.7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3"/>
      <c r="AD58" s="3"/>
      <c r="AE58" s="3"/>
      <c r="AF58" s="3"/>
      <c r="AG58" s="3"/>
      <c r="AH58" s="3"/>
      <c r="AI58" s="3"/>
      <c r="AJ58" s="18"/>
      <c r="AK58" s="18"/>
      <c r="AL58" s="18"/>
      <c r="AM58" s="18"/>
      <c r="AN58" s="18"/>
      <c r="AO58" s="18"/>
      <c r="AP58" s="18"/>
      <c r="AQ58" s="18"/>
      <c r="AR58" s="18"/>
      <c r="AS58" s="3"/>
      <c r="AT58" s="3"/>
      <c r="AU58" s="3"/>
      <c r="AV58" s="8"/>
      <c r="AW58" s="8"/>
      <c r="AX58" s="8"/>
      <c r="AY58" s="3"/>
      <c r="AZ58" s="8"/>
      <c r="BA58" s="8"/>
      <c r="BB58" s="3"/>
      <c r="BC58" s="3"/>
      <c r="BD58" s="3"/>
      <c r="BE58" s="3"/>
      <c r="BF58" s="3"/>
      <c r="BG58" s="3"/>
      <c r="BH58" s="3"/>
      <c r="BI58" s="3"/>
      <c r="BJ58" s="3"/>
      <c r="BK58" s="3"/>
      <c r="BL58" s="3"/>
      <c r="BM58" s="3"/>
      <c r="BN58" s="8"/>
      <c r="BO58" s="8"/>
      <c r="BP58" s="8"/>
      <c r="BQ58" s="8"/>
      <c r="BR58" s="8"/>
      <c r="BS58" s="8"/>
      <c r="BT58" s="8"/>
      <c r="BU58" s="8"/>
      <c r="BV58" s="8"/>
      <c r="BW58" s="8"/>
      <c r="BX58" s="8"/>
      <c r="BY58" s="8"/>
      <c r="BZ58" s="8"/>
      <c r="CA58" s="8"/>
      <c r="CB58" s="8"/>
      <c r="CC58" s="8"/>
    </row>
    <row r="59" spans="1:81" ht="15" customHeight="1" hidden="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3"/>
      <c r="AD59" s="3"/>
      <c r="AE59" s="3"/>
      <c r="AF59" s="3"/>
      <c r="AG59" s="3"/>
      <c r="AH59" s="3"/>
      <c r="AI59" s="3"/>
      <c r="AJ59" s="3"/>
      <c r="AK59" s="3"/>
      <c r="AL59" s="3"/>
      <c r="AM59" s="3"/>
      <c r="AN59" s="3"/>
      <c r="AO59" s="3"/>
      <c r="AP59" s="3"/>
      <c r="AQ59" s="3"/>
      <c r="AR59" s="3"/>
      <c r="AS59" s="3"/>
      <c r="AT59" s="3"/>
      <c r="AU59" s="3"/>
      <c r="AV59" s="8"/>
      <c r="AW59" s="8"/>
      <c r="AX59" s="3"/>
      <c r="AY59" s="3"/>
      <c r="AZ59" s="3"/>
      <c r="BA59" s="3"/>
      <c r="BB59" s="3"/>
      <c r="BC59" s="3"/>
      <c r="BD59" s="3"/>
      <c r="BE59" s="3"/>
      <c r="BF59" s="3"/>
      <c r="BG59" s="3"/>
      <c r="BH59" s="3"/>
      <c r="BI59" s="3"/>
      <c r="BJ59" s="3"/>
      <c r="BK59" s="3"/>
      <c r="BL59" s="3"/>
      <c r="BM59" s="3"/>
      <c r="BN59" s="8"/>
      <c r="BO59" s="8"/>
      <c r="BP59" s="8"/>
      <c r="BQ59" s="8"/>
      <c r="BR59" s="8"/>
      <c r="BS59" s="8"/>
      <c r="BT59" s="8"/>
      <c r="BU59" s="8"/>
      <c r="BV59" s="8"/>
      <c r="BW59" s="8"/>
      <c r="BX59" s="8"/>
      <c r="BY59" s="8"/>
      <c r="BZ59" s="8"/>
      <c r="CA59" s="8"/>
      <c r="CB59" s="8"/>
      <c r="CC59" s="8"/>
    </row>
    <row r="60" spans="1:81" ht="15"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3"/>
      <c r="AE60" s="3"/>
      <c r="AF60" s="3"/>
      <c r="AG60" s="3"/>
      <c r="AH60" s="8"/>
      <c r="AI60" s="8"/>
      <c r="AJ60" s="571" t="s">
        <v>452</v>
      </c>
      <c r="AK60" s="571"/>
      <c r="AL60" s="571"/>
      <c r="AM60" s="571"/>
      <c r="AN60" s="571"/>
      <c r="AO60" s="571"/>
      <c r="AP60" s="571"/>
      <c r="AQ60" s="612"/>
      <c r="AR60" s="570"/>
      <c r="AS60" s="570"/>
      <c r="AT60" s="571" t="s">
        <v>453</v>
      </c>
      <c r="AU60" s="571"/>
      <c r="AV60" s="571"/>
      <c r="AW60" s="571"/>
      <c r="AX60" s="571"/>
      <c r="AY60" s="565">
        <f>AY61-'能力'!AQ60</f>
        <v>145000</v>
      </c>
      <c r="AZ60" s="565"/>
      <c r="BA60" s="565"/>
      <c r="BB60" s="800" t="s">
        <v>454</v>
      </c>
      <c r="BC60" s="801"/>
      <c r="BD60" s="801"/>
      <c r="BE60" s="802"/>
      <c r="BF60" s="3"/>
      <c r="BG60" s="3"/>
      <c r="BH60" s="3"/>
      <c r="BI60" s="3"/>
      <c r="BJ60" s="3"/>
      <c r="BK60" s="3"/>
      <c r="BL60" s="3"/>
      <c r="BM60" s="3"/>
      <c r="BN60" s="3"/>
      <c r="BO60" s="8"/>
      <c r="BP60" s="8"/>
      <c r="BQ60" s="8"/>
      <c r="BR60" s="8"/>
      <c r="BS60" s="8"/>
      <c r="BT60" s="8"/>
      <c r="BU60" s="8"/>
      <c r="BV60" s="8"/>
      <c r="BW60" s="8"/>
      <c r="BX60" s="8"/>
      <c r="BY60" s="8"/>
      <c r="BZ60" s="8"/>
      <c r="CA60" s="8"/>
      <c r="CB60" s="8"/>
      <c r="CC60" s="8"/>
    </row>
    <row r="61" spans="1:81" ht="15" customHeight="1">
      <c r="A61" s="8"/>
      <c r="B61" s="8"/>
      <c r="C61" s="8"/>
      <c r="D61" s="663" t="s">
        <v>455</v>
      </c>
      <c r="E61" s="663"/>
      <c r="F61" s="663"/>
      <c r="G61" s="663"/>
      <c r="H61" s="663"/>
      <c r="I61" s="625"/>
      <c r="J61" s="664" t="s">
        <v>456</v>
      </c>
      <c r="K61" s="665"/>
      <c r="L61" s="666"/>
      <c r="M61" s="565" t="s">
        <v>457</v>
      </c>
      <c r="N61" s="565"/>
      <c r="O61" s="661" t="s">
        <v>381</v>
      </c>
      <c r="P61" s="661"/>
      <c r="Q61" s="610" t="s">
        <v>415</v>
      </c>
      <c r="R61" s="610"/>
      <c r="S61" s="610" t="s">
        <v>421</v>
      </c>
      <c r="T61" s="610"/>
      <c r="U61" s="610" t="s">
        <v>458</v>
      </c>
      <c r="V61" s="610"/>
      <c r="W61" s="950" t="s">
        <v>459</v>
      </c>
      <c r="X61" s="950"/>
      <c r="Y61" s="950"/>
      <c r="Z61" s="610" t="s">
        <v>460</v>
      </c>
      <c r="AA61" s="610"/>
      <c r="AB61" s="950" t="s">
        <v>461</v>
      </c>
      <c r="AC61" s="950"/>
      <c r="AD61" s="950"/>
      <c r="AE61" s="950" t="s">
        <v>462</v>
      </c>
      <c r="AF61" s="950"/>
      <c r="AG61" s="950" t="s">
        <v>428</v>
      </c>
      <c r="AH61" s="950"/>
      <c r="AI61" s="8"/>
      <c r="AJ61" s="571" t="s">
        <v>463</v>
      </c>
      <c r="AK61" s="571"/>
      <c r="AL61" s="571"/>
      <c r="AM61" s="571"/>
      <c r="AN61" s="571"/>
      <c r="AO61" s="571"/>
      <c r="AP61" s="571"/>
      <c r="AQ61" s="638">
        <f>IF(AS28=0,0,INDEX($CA$4:$CA$24,AS28))</f>
        <v>105000</v>
      </c>
      <c r="AR61" s="565"/>
      <c r="AS61" s="565"/>
      <c r="AT61" s="571" t="s">
        <v>464</v>
      </c>
      <c r="AU61" s="571"/>
      <c r="AV61" s="571"/>
      <c r="AW61" s="571"/>
      <c r="AX61" s="571"/>
      <c r="AY61" s="565">
        <f>INDEX($CA$4:$CA$24,AS28+1)</f>
        <v>145000</v>
      </c>
      <c r="AZ61" s="565"/>
      <c r="BA61" s="565"/>
      <c r="BB61" s="913">
        <v>0</v>
      </c>
      <c r="BC61" s="913"/>
      <c r="BD61" s="913"/>
      <c r="BE61" s="913"/>
      <c r="BF61" s="3"/>
      <c r="BG61" s="3"/>
      <c r="BH61" s="3"/>
      <c r="BI61" s="3"/>
      <c r="BJ61" s="3"/>
      <c r="BK61" s="3"/>
      <c r="BL61" s="3"/>
      <c r="BM61" s="3"/>
      <c r="BN61" s="3"/>
      <c r="BO61" s="3"/>
      <c r="BP61" s="8"/>
      <c r="BQ61" s="8"/>
      <c r="BR61" s="8"/>
      <c r="BS61" s="8"/>
      <c r="BT61" s="8"/>
      <c r="BU61" s="8"/>
      <c r="BV61" s="8"/>
      <c r="BW61" s="8"/>
      <c r="BX61" s="8"/>
      <c r="BY61" s="8"/>
      <c r="BZ61" s="8"/>
      <c r="CA61" s="8"/>
      <c r="CB61" s="8"/>
      <c r="CC61" s="8"/>
    </row>
    <row r="62" spans="1:81" ht="15" customHeight="1">
      <c r="A62" s="8"/>
      <c r="B62" s="8"/>
      <c r="C62" s="8"/>
      <c r="D62" s="603" t="s">
        <v>618</v>
      </c>
      <c r="E62" s="603"/>
      <c r="F62" s="603"/>
      <c r="G62" s="603"/>
      <c r="H62" s="603"/>
      <c r="I62" s="603"/>
      <c r="J62" s="670">
        <f>SUM(M62:AH62)</f>
        <v>16</v>
      </c>
      <c r="K62" s="671"/>
      <c r="L62" s="672"/>
      <c r="M62" s="565">
        <v>10</v>
      </c>
      <c r="N62" s="565"/>
      <c r="O62" s="662">
        <f>MIN(IF('装備'!Q12="0",0,'装備'!Q12),IF('装備'!Q13=0,L19,'装備'!Q13),IF('装備'!Q14=0,L19,'装備'!Q14),IF('装備'!Q15=0,L19,'装備'!Q15),IF('装備'!Q16=0,L19,'装備'!Q16),IF('装備'!H6&gt;AL84+0.001,1,L19),IF('装備'!H6&gt;AJ84+0.001,3,L19))</f>
        <v>0</v>
      </c>
      <c r="P62" s="662"/>
      <c r="Q62" s="565">
        <f>BV33</f>
        <v>6</v>
      </c>
      <c r="R62" s="565"/>
      <c r="S62" s="565">
        <f>BV36</f>
        <v>0</v>
      </c>
      <c r="T62" s="565"/>
      <c r="U62" s="565">
        <f>'装備'!P14</f>
        <v>0</v>
      </c>
      <c r="V62" s="565"/>
      <c r="W62" s="565">
        <f>BV37</f>
        <v>0</v>
      </c>
      <c r="X62" s="565"/>
      <c r="Y62" s="565"/>
      <c r="Z62" s="565">
        <f>BR7</f>
        <v>0</v>
      </c>
      <c r="AA62" s="565"/>
      <c r="AB62" s="570"/>
      <c r="AC62" s="570"/>
      <c r="AD62" s="570"/>
      <c r="AE62" s="570"/>
      <c r="AF62" s="570"/>
      <c r="AG62" s="570"/>
      <c r="AH62" s="570"/>
      <c r="AI62" s="8"/>
      <c r="AJ62" s="8"/>
      <c r="AK62" s="8"/>
      <c r="AL62" s="8"/>
      <c r="AM62" s="8"/>
      <c r="AN62" s="3"/>
      <c r="AO62" s="3"/>
      <c r="AP62" s="3"/>
      <c r="AQ62" s="3"/>
      <c r="AR62" s="3"/>
      <c r="AS62" s="3"/>
      <c r="AT62" s="3"/>
      <c r="AU62" s="8"/>
      <c r="AV62" s="8"/>
      <c r="AW62" s="8"/>
      <c r="AX62" s="8"/>
      <c r="AY62" s="3"/>
      <c r="AZ62" s="3"/>
      <c r="BA62" s="3"/>
      <c r="BB62" s="3"/>
      <c r="BC62" s="3"/>
      <c r="BD62" s="3"/>
      <c r="BE62" s="3"/>
      <c r="BF62" s="3"/>
      <c r="BG62" s="3"/>
      <c r="BH62" s="3"/>
      <c r="BI62" s="3"/>
      <c r="BJ62" s="3"/>
      <c r="BK62" s="3"/>
      <c r="BL62" s="3"/>
      <c r="BM62" s="3"/>
      <c r="BN62" s="8"/>
      <c r="BO62" s="8"/>
      <c r="BP62" s="8"/>
      <c r="BQ62" s="8"/>
      <c r="BR62" s="8"/>
      <c r="BS62" s="8"/>
      <c r="BT62" s="8"/>
      <c r="BU62" s="8"/>
      <c r="BV62" s="8"/>
      <c r="BW62" s="8"/>
      <c r="BX62" s="8"/>
      <c r="BY62" s="8"/>
      <c r="BZ62" s="8"/>
      <c r="CA62" s="8"/>
      <c r="CB62" s="8"/>
      <c r="CC62" s="8"/>
    </row>
    <row r="63" spans="1:81" ht="15" customHeight="1">
      <c r="A63" s="8"/>
      <c r="B63" s="8"/>
      <c r="C63" s="8"/>
      <c r="D63" s="603" t="s">
        <v>619</v>
      </c>
      <c r="E63" s="603"/>
      <c r="F63" s="603"/>
      <c r="G63" s="603"/>
      <c r="H63" s="603"/>
      <c r="I63" s="603"/>
      <c r="J63" s="667">
        <f>SUM(M63:AH63)</f>
        <v>10</v>
      </c>
      <c r="K63" s="668"/>
      <c r="L63" s="669"/>
      <c r="M63" s="565">
        <v>10</v>
      </c>
      <c r="N63" s="565"/>
      <c r="O63" s="662">
        <f>O62</f>
        <v>0</v>
      </c>
      <c r="P63" s="662"/>
      <c r="Q63" s="565"/>
      <c r="R63" s="565"/>
      <c r="S63" s="565"/>
      <c r="T63" s="565"/>
      <c r="U63" s="660"/>
      <c r="V63" s="660"/>
      <c r="W63" s="565"/>
      <c r="X63" s="565"/>
      <c r="Y63" s="565"/>
      <c r="Z63" s="565">
        <f>Z62</f>
        <v>0</v>
      </c>
      <c r="AA63" s="565"/>
      <c r="AB63" s="565"/>
      <c r="AC63" s="565"/>
      <c r="AD63" s="565"/>
      <c r="AE63" s="565">
        <f>AE62</f>
        <v>0</v>
      </c>
      <c r="AF63" s="565"/>
      <c r="AG63" s="565">
        <f>AG62</f>
        <v>0</v>
      </c>
      <c r="AH63" s="565"/>
      <c r="AI63" s="8"/>
      <c r="AJ63" s="8"/>
      <c r="AK63" s="8"/>
      <c r="AL63" s="8"/>
      <c r="AM63" s="8"/>
      <c r="AN63" s="576" t="s">
        <v>465</v>
      </c>
      <c r="AO63" s="576"/>
      <c r="AP63" s="576"/>
      <c r="AQ63" s="677" t="s">
        <v>466</v>
      </c>
      <c r="AR63" s="678"/>
      <c r="AS63" s="678"/>
      <c r="AT63" s="678"/>
      <c r="AU63" s="678"/>
      <c r="AV63" s="914"/>
      <c r="AW63" s="569"/>
      <c r="AX63" s="569"/>
      <c r="AY63" s="569"/>
      <c r="AZ63" s="572"/>
      <c r="BA63" s="573"/>
      <c r="BB63" s="573"/>
      <c r="BC63" s="573"/>
      <c r="BD63" s="573"/>
      <c r="BE63" s="574"/>
      <c r="BF63" s="8"/>
      <c r="BG63" s="8"/>
      <c r="BH63" s="8"/>
      <c r="BI63" s="8"/>
      <c r="BJ63" s="8"/>
      <c r="BK63" s="8"/>
      <c r="BL63" s="8"/>
      <c r="BM63" s="8"/>
      <c r="BN63" s="8"/>
      <c r="BO63" s="8"/>
      <c r="BP63" s="8"/>
      <c r="BQ63" s="8"/>
      <c r="BR63" s="8"/>
      <c r="BS63" s="8"/>
      <c r="BT63" s="8"/>
      <c r="BU63" s="8"/>
      <c r="BV63" s="8"/>
      <c r="BW63" s="8"/>
      <c r="BX63" s="8"/>
      <c r="BY63" s="8"/>
      <c r="BZ63" s="8"/>
      <c r="CA63" s="8"/>
      <c r="CB63" s="8"/>
      <c r="CC63" s="8"/>
    </row>
    <row r="64" spans="1:81" ht="15" customHeight="1">
      <c r="A64" s="8"/>
      <c r="B64" s="8"/>
      <c r="C64" s="8"/>
      <c r="D64" s="603" t="s">
        <v>620</v>
      </c>
      <c r="E64" s="603"/>
      <c r="F64" s="603"/>
      <c r="G64" s="603"/>
      <c r="H64" s="603"/>
      <c r="I64" s="603"/>
      <c r="J64" s="667">
        <f>SUM(M64:AH64)</f>
        <v>16</v>
      </c>
      <c r="K64" s="668"/>
      <c r="L64" s="669"/>
      <c r="M64" s="565">
        <v>10</v>
      </c>
      <c r="N64" s="565"/>
      <c r="O64" s="565">
        <f>IF(O62&lt;0,O62,IF(BT31=2,O62,""))</f>
      </c>
      <c r="P64" s="565"/>
      <c r="Q64" s="565">
        <f>Q62</f>
        <v>6</v>
      </c>
      <c r="R64" s="565"/>
      <c r="S64" s="565">
        <f>S62</f>
        <v>0</v>
      </c>
      <c r="T64" s="565"/>
      <c r="U64" s="565">
        <f>U62</f>
        <v>0</v>
      </c>
      <c r="V64" s="565"/>
      <c r="W64" s="565">
        <f>W62</f>
        <v>0</v>
      </c>
      <c r="X64" s="565"/>
      <c r="Y64" s="565"/>
      <c r="Z64" s="565">
        <f>Z63</f>
        <v>0</v>
      </c>
      <c r="AA64" s="565"/>
      <c r="AB64" s="565">
        <f>AB62</f>
        <v>0</v>
      </c>
      <c r="AC64" s="565"/>
      <c r="AD64" s="565"/>
      <c r="AE64" s="565">
        <f>AE63</f>
        <v>0</v>
      </c>
      <c r="AF64" s="565"/>
      <c r="AG64" s="565">
        <f>AG63</f>
        <v>0</v>
      </c>
      <c r="AH64" s="565"/>
      <c r="AI64" s="8"/>
      <c r="AJ64" s="8"/>
      <c r="AK64" s="8"/>
      <c r="AL64" s="8"/>
      <c r="AN64" s="569" t="s">
        <v>919</v>
      </c>
      <c r="AO64" s="569"/>
      <c r="AP64" s="569"/>
      <c r="AQ64" s="572" t="str">
        <f>"Rage "&amp;4+L20+(AS28-1)*2&amp;"Round/day"</f>
        <v>Rage 27Round/day</v>
      </c>
      <c r="AR64" s="573"/>
      <c r="AS64" s="573"/>
      <c r="AT64" s="573"/>
      <c r="AU64" s="573"/>
      <c r="AV64" s="574"/>
      <c r="AW64" s="569"/>
      <c r="AX64" s="569"/>
      <c r="AY64" s="569"/>
      <c r="AZ64" s="572"/>
      <c r="BA64" s="573"/>
      <c r="BB64" s="573"/>
      <c r="BC64" s="573"/>
      <c r="BD64" s="573"/>
      <c r="BE64" s="574"/>
      <c r="BF64" s="8"/>
      <c r="BG64" s="8"/>
      <c r="BH64" s="8"/>
      <c r="BI64" s="8"/>
      <c r="BJ64" s="8"/>
      <c r="BK64" s="8"/>
      <c r="BL64" s="8"/>
      <c r="BM64" s="8"/>
      <c r="BN64" s="8"/>
      <c r="BO64" s="8"/>
      <c r="BP64" s="8"/>
      <c r="BQ64" s="8"/>
      <c r="BR64" s="8"/>
      <c r="BS64" s="8"/>
      <c r="BT64" s="8"/>
      <c r="BU64" s="8"/>
      <c r="BV64" s="8"/>
      <c r="BW64" s="8"/>
      <c r="BX64" s="8"/>
      <c r="BY64" s="8"/>
      <c r="BZ64" s="8"/>
      <c r="CA64" s="8"/>
      <c r="CB64" s="8"/>
      <c r="CC64" s="8"/>
    </row>
    <row r="65" spans="1:81" ht="15" customHeight="1">
      <c r="A65" s="8"/>
      <c r="B65" s="8"/>
      <c r="C65" s="8"/>
      <c r="D65" s="603" t="s">
        <v>621</v>
      </c>
      <c r="E65" s="603"/>
      <c r="F65" s="603"/>
      <c r="G65" s="603"/>
      <c r="H65" s="603"/>
      <c r="I65" s="603"/>
      <c r="J65" s="947">
        <f>SUM(M65:AH65)</f>
        <v>10</v>
      </c>
      <c r="K65" s="948"/>
      <c r="L65" s="949"/>
      <c r="M65" s="565">
        <v>10</v>
      </c>
      <c r="N65" s="565"/>
      <c r="O65" s="662">
        <f>O62</f>
        <v>0</v>
      </c>
      <c r="P65" s="662"/>
      <c r="Q65" s="565"/>
      <c r="R65" s="565"/>
      <c r="S65" s="565"/>
      <c r="T65" s="565"/>
      <c r="U65" s="660"/>
      <c r="V65" s="660"/>
      <c r="W65" s="565"/>
      <c r="X65" s="565"/>
      <c r="Y65" s="565"/>
      <c r="Z65" s="565">
        <f>Z64</f>
        <v>0</v>
      </c>
      <c r="AA65" s="565"/>
      <c r="AB65" s="565"/>
      <c r="AC65" s="565"/>
      <c r="AD65" s="565"/>
      <c r="AE65" s="565">
        <f>AE64</f>
        <v>0</v>
      </c>
      <c r="AF65" s="565"/>
      <c r="AG65" s="565">
        <f>AG64</f>
        <v>0</v>
      </c>
      <c r="AH65" s="565"/>
      <c r="AI65" s="8"/>
      <c r="AJ65" s="8"/>
      <c r="AK65" s="8"/>
      <c r="AL65" s="8"/>
      <c r="AM65" s="8"/>
      <c r="AN65" s="569"/>
      <c r="AO65" s="569"/>
      <c r="AP65" s="569"/>
      <c r="AQ65" s="572"/>
      <c r="AR65" s="573"/>
      <c r="AS65" s="573"/>
      <c r="AT65" s="573"/>
      <c r="AU65" s="573"/>
      <c r="AV65" s="574"/>
      <c r="AW65" s="569"/>
      <c r="AX65" s="569"/>
      <c r="AY65" s="569"/>
      <c r="AZ65" s="572"/>
      <c r="BA65" s="573"/>
      <c r="BB65" s="573"/>
      <c r="BC65" s="573"/>
      <c r="BD65" s="573"/>
      <c r="BE65" s="574"/>
      <c r="BF65" s="8"/>
      <c r="BG65" s="8"/>
      <c r="BH65" s="8"/>
      <c r="BI65" s="8"/>
      <c r="BJ65" s="8"/>
      <c r="BK65" s="8"/>
      <c r="BL65" s="8"/>
      <c r="BM65" s="8"/>
      <c r="BN65" s="3"/>
      <c r="BO65" s="8"/>
      <c r="BP65" s="8"/>
      <c r="BQ65" s="8"/>
      <c r="BR65" s="8"/>
      <c r="BS65" s="8"/>
      <c r="BT65" s="8"/>
      <c r="BU65" s="8"/>
      <c r="BV65" s="8"/>
      <c r="BW65" s="8"/>
      <c r="BX65" s="8"/>
      <c r="BY65" s="8"/>
      <c r="BZ65" s="8"/>
      <c r="CA65" s="8"/>
      <c r="CB65" s="8"/>
      <c r="CC65" s="8"/>
    </row>
    <row r="66" spans="1:81" ht="15" customHeight="1">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569"/>
      <c r="AO66" s="569"/>
      <c r="AP66" s="569"/>
      <c r="AQ66" s="572"/>
      <c r="AR66" s="573"/>
      <c r="AS66" s="573"/>
      <c r="AT66" s="573"/>
      <c r="AU66" s="573"/>
      <c r="AV66" s="574"/>
      <c r="AW66" s="569"/>
      <c r="AX66" s="569"/>
      <c r="AY66" s="569"/>
      <c r="AZ66" s="572"/>
      <c r="BA66" s="573"/>
      <c r="BB66" s="573"/>
      <c r="BC66" s="573"/>
      <c r="BD66" s="573"/>
      <c r="BE66" s="574"/>
      <c r="BF66" s="8"/>
      <c r="BG66" s="8"/>
      <c r="BH66" s="8"/>
      <c r="BI66" s="8"/>
      <c r="BJ66" s="8"/>
      <c r="BK66" s="8"/>
      <c r="BL66" s="8"/>
      <c r="BM66" s="8"/>
      <c r="BN66" s="8"/>
      <c r="BO66" s="8"/>
      <c r="BP66" s="8"/>
      <c r="BQ66" s="8"/>
      <c r="BR66" s="8"/>
      <c r="BS66" s="8"/>
      <c r="BT66" s="8"/>
      <c r="BU66" s="8"/>
      <c r="BV66" s="8"/>
      <c r="BW66" s="8"/>
      <c r="BX66" s="8"/>
      <c r="BY66" s="8"/>
      <c r="BZ66" s="8"/>
      <c r="CA66" s="8"/>
      <c r="CB66" s="8"/>
      <c r="CC66" s="8"/>
    </row>
    <row r="67" spans="1:81" ht="15" customHeight="1">
      <c r="A67" s="8"/>
      <c r="B67" s="8"/>
      <c r="C67" s="8"/>
      <c r="D67" s="8"/>
      <c r="E67" s="8"/>
      <c r="F67" s="8"/>
      <c r="G67" s="8"/>
      <c r="H67" s="8"/>
      <c r="I67" s="8"/>
      <c r="J67" s="8"/>
      <c r="K67" s="8"/>
      <c r="L67" s="8"/>
      <c r="M67" s="8"/>
      <c r="N67" s="8"/>
      <c r="O67" s="8"/>
      <c r="P67" s="8"/>
      <c r="Q67" s="8"/>
      <c r="R67" s="8"/>
      <c r="S67" s="596" t="s">
        <v>467</v>
      </c>
      <c r="T67" s="596"/>
      <c r="U67" s="596" t="s">
        <v>468</v>
      </c>
      <c r="V67" s="596"/>
      <c r="W67" s="596" t="s">
        <v>469</v>
      </c>
      <c r="X67" s="596"/>
      <c r="Y67" s="596" t="s">
        <v>470</v>
      </c>
      <c r="Z67" s="596"/>
      <c r="AA67" s="596" t="s">
        <v>471</v>
      </c>
      <c r="AB67" s="596"/>
      <c r="AC67" s="630" t="s">
        <v>472</v>
      </c>
      <c r="AD67" s="630"/>
      <c r="AE67" s="630" t="s">
        <v>473</v>
      </c>
      <c r="AF67" s="630"/>
      <c r="AG67" s="596" t="s">
        <v>474</v>
      </c>
      <c r="AH67" s="596"/>
      <c r="AI67" s="596" t="s">
        <v>475</v>
      </c>
      <c r="AJ67" s="596"/>
      <c r="AK67" s="596" t="s">
        <v>476</v>
      </c>
      <c r="AL67" s="596"/>
      <c r="AM67" s="8"/>
      <c r="AN67" s="569"/>
      <c r="AO67" s="569"/>
      <c r="AP67" s="569"/>
      <c r="AQ67" s="572"/>
      <c r="AR67" s="573"/>
      <c r="AS67" s="573"/>
      <c r="AT67" s="573"/>
      <c r="AU67" s="573"/>
      <c r="AV67" s="574"/>
      <c r="AW67" s="569"/>
      <c r="AX67" s="569"/>
      <c r="AY67" s="569"/>
      <c r="AZ67" s="572"/>
      <c r="BA67" s="573"/>
      <c r="BB67" s="573"/>
      <c r="BC67" s="573"/>
      <c r="BD67" s="573"/>
      <c r="BE67" s="574"/>
      <c r="BF67" s="8"/>
      <c r="BG67" s="8"/>
      <c r="BH67" s="8"/>
      <c r="BI67" s="8"/>
      <c r="BJ67" s="8"/>
      <c r="BK67" s="8"/>
      <c r="BL67" s="8"/>
      <c r="BM67" s="8"/>
      <c r="BN67" s="8"/>
      <c r="BO67" s="8"/>
      <c r="BP67" s="8"/>
      <c r="BQ67" s="8"/>
      <c r="BR67" s="8"/>
      <c r="BS67" s="8"/>
      <c r="BT67" s="8"/>
      <c r="BU67" s="8"/>
      <c r="BV67" s="8"/>
      <c r="BW67" s="8"/>
      <c r="BX67" s="8"/>
      <c r="BY67" s="8"/>
      <c r="BZ67" s="8"/>
      <c r="CA67" s="8"/>
      <c r="CB67" s="8"/>
      <c r="CC67" s="8"/>
    </row>
    <row r="68" spans="1:81" ht="15" customHeight="1">
      <c r="A68" s="8"/>
      <c r="B68" s="8"/>
      <c r="C68" s="619"/>
      <c r="D68" s="619"/>
      <c r="E68" s="619"/>
      <c r="F68" s="619"/>
      <c r="G68" s="619"/>
      <c r="H68" s="620" t="s">
        <v>477</v>
      </c>
      <c r="I68" s="621"/>
      <c r="J68" s="621"/>
      <c r="K68" s="622"/>
      <c r="L68" s="611"/>
      <c r="M68" s="612"/>
      <c r="N68" s="629" t="s">
        <v>478</v>
      </c>
      <c r="O68" s="629"/>
      <c r="P68" s="629"/>
      <c r="Q68" s="629"/>
      <c r="R68" s="629"/>
      <c r="S68" s="565" t="str">
        <f>IF(J69=7,"-",10+INDEX($G$18:$G$24,J69)+J70)</f>
        <v>-</v>
      </c>
      <c r="T68" s="565"/>
      <c r="U68" s="565" t="str">
        <f>IF(J69=7,"-",S68+1)</f>
        <v>-</v>
      </c>
      <c r="V68" s="565"/>
      <c r="W68" s="565" t="str">
        <f>IF(J69=7,"-",S68+2)</f>
        <v>-</v>
      </c>
      <c r="X68" s="565"/>
      <c r="Y68" s="565" t="str">
        <f>IF(J69=7,"-",S68+3)</f>
        <v>-</v>
      </c>
      <c r="Z68" s="565"/>
      <c r="AA68" s="565" t="str">
        <f>IF(J69=7,"-",S68+4)</f>
        <v>-</v>
      </c>
      <c r="AB68" s="565"/>
      <c r="AC68" s="565" t="str">
        <f>IF(J69=7,"-",S68+5)</f>
        <v>-</v>
      </c>
      <c r="AD68" s="565"/>
      <c r="AE68" s="565" t="str">
        <f>IF(J69=7,"-",S68+6)</f>
        <v>-</v>
      </c>
      <c r="AF68" s="565"/>
      <c r="AG68" s="565" t="str">
        <f>IF(J69=7,"-",S68+7)</f>
        <v>-</v>
      </c>
      <c r="AH68" s="565"/>
      <c r="AI68" s="565" t="str">
        <f>IF(J69=7,"-",S68+8)</f>
        <v>-</v>
      </c>
      <c r="AJ68" s="565"/>
      <c r="AK68" s="565" t="str">
        <f>IF(J69=7,"-",S68+9)</f>
        <v>-</v>
      </c>
      <c r="AL68" s="565"/>
      <c r="AM68" s="8"/>
      <c r="AN68" s="569"/>
      <c r="AO68" s="569"/>
      <c r="AP68" s="569"/>
      <c r="AQ68" s="572"/>
      <c r="AR68" s="573"/>
      <c r="AS68" s="573"/>
      <c r="AT68" s="573"/>
      <c r="AU68" s="573"/>
      <c r="AV68" s="574"/>
      <c r="AW68" s="569"/>
      <c r="AX68" s="569"/>
      <c r="AY68" s="569"/>
      <c r="AZ68" s="572"/>
      <c r="BA68" s="573"/>
      <c r="BB68" s="573"/>
      <c r="BC68" s="573"/>
      <c r="BD68" s="573"/>
      <c r="BE68" s="574"/>
      <c r="BF68" s="8"/>
      <c r="BG68" s="8"/>
      <c r="BH68" s="8"/>
      <c r="BI68" s="8"/>
      <c r="BJ68" s="8"/>
      <c r="BK68" s="8"/>
      <c r="BL68" s="8"/>
      <c r="BM68" s="8"/>
      <c r="BN68" s="8"/>
      <c r="BO68" s="8"/>
      <c r="BP68" s="8"/>
      <c r="BQ68" s="8"/>
      <c r="BR68" s="8"/>
      <c r="BS68" s="8"/>
      <c r="BT68" s="8"/>
      <c r="BU68" s="8"/>
      <c r="BV68" s="8"/>
      <c r="BW68" s="8"/>
      <c r="BX68" s="8"/>
      <c r="BY68" s="8"/>
      <c r="BZ68" s="8"/>
      <c r="CA68" s="8"/>
      <c r="CB68" s="8"/>
      <c r="CC68" s="8"/>
    </row>
    <row r="69" spans="1:81" ht="15" customHeight="1">
      <c r="A69" s="8"/>
      <c r="B69" s="8"/>
      <c r="C69" s="8"/>
      <c r="D69" s="8"/>
      <c r="E69" s="8"/>
      <c r="F69" s="616" t="s">
        <v>479</v>
      </c>
      <c r="G69" s="617"/>
      <c r="H69" s="617"/>
      <c r="I69" s="618"/>
      <c r="J69" s="625">
        <v>7</v>
      </c>
      <c r="K69" s="626"/>
      <c r="L69" s="626"/>
      <c r="M69" s="627"/>
      <c r="N69" s="610" t="s">
        <v>480</v>
      </c>
      <c r="O69" s="610"/>
      <c r="P69" s="610"/>
      <c r="Q69" s="610"/>
      <c r="R69" s="610"/>
      <c r="S69" s="613"/>
      <c r="T69" s="613"/>
      <c r="U69" s="613"/>
      <c r="V69" s="613"/>
      <c r="W69" s="613"/>
      <c r="X69" s="613"/>
      <c r="Y69" s="613"/>
      <c r="Z69" s="613"/>
      <c r="AA69" s="613"/>
      <c r="AB69" s="613"/>
      <c r="AC69" s="613"/>
      <c r="AD69" s="613"/>
      <c r="AE69" s="613"/>
      <c r="AF69" s="613"/>
      <c r="AG69" s="613"/>
      <c r="AH69" s="613"/>
      <c r="AI69" s="613"/>
      <c r="AJ69" s="613"/>
      <c r="AK69" s="613"/>
      <c r="AL69" s="613"/>
      <c r="AM69" s="8"/>
      <c r="AN69" s="569"/>
      <c r="AO69" s="569"/>
      <c r="AP69" s="569"/>
      <c r="AQ69" s="572"/>
      <c r="AR69" s="573"/>
      <c r="AS69" s="573"/>
      <c r="AT69" s="573"/>
      <c r="AU69" s="573"/>
      <c r="AV69" s="574"/>
      <c r="AW69" s="569"/>
      <c r="AX69" s="569"/>
      <c r="AY69" s="569"/>
      <c r="AZ69" s="572"/>
      <c r="BA69" s="573"/>
      <c r="BB69" s="573"/>
      <c r="BC69" s="573"/>
      <c r="BD69" s="573"/>
      <c r="BE69" s="574"/>
      <c r="BF69" s="8"/>
      <c r="BG69" s="8"/>
      <c r="BH69" s="8"/>
      <c r="BI69" s="8"/>
      <c r="BJ69" s="8"/>
      <c r="BK69" s="8"/>
      <c r="BL69" s="8"/>
      <c r="BM69" s="8"/>
      <c r="BN69" s="8"/>
      <c r="BO69" s="8"/>
      <c r="BP69" s="8"/>
      <c r="BQ69" s="8"/>
      <c r="BR69" s="8"/>
      <c r="BS69" s="8"/>
      <c r="BT69" s="8"/>
      <c r="BU69" s="8"/>
      <c r="BV69" s="8"/>
      <c r="BW69" s="8"/>
      <c r="BX69" s="8"/>
      <c r="BY69" s="8"/>
      <c r="BZ69" s="8"/>
      <c r="CA69" s="8"/>
      <c r="CB69" s="8"/>
      <c r="CC69" s="8"/>
    </row>
    <row r="70" spans="1:81" ht="15" customHeight="1">
      <c r="A70" s="8"/>
      <c r="B70" s="8"/>
      <c r="C70" s="8"/>
      <c r="D70" s="8"/>
      <c r="E70" s="8"/>
      <c r="F70" s="616" t="s">
        <v>481</v>
      </c>
      <c r="G70" s="617"/>
      <c r="H70" s="617"/>
      <c r="I70" s="618"/>
      <c r="J70" s="614">
        <f>IF('能力'!J69=7,"",INDEX('能力'!$L$18:$L$23,'能力'!J69))</f>
      </c>
      <c r="K70" s="615"/>
      <c r="L70" s="8"/>
      <c r="M70" s="8"/>
      <c r="N70" s="610" t="s">
        <v>482</v>
      </c>
      <c r="O70" s="610"/>
      <c r="P70" s="610"/>
      <c r="Q70" s="610"/>
      <c r="R70" s="610"/>
      <c r="S70" s="613"/>
      <c r="T70" s="613"/>
      <c r="U70" s="613"/>
      <c r="V70" s="613"/>
      <c r="W70" s="613"/>
      <c r="X70" s="613"/>
      <c r="Y70" s="613"/>
      <c r="Z70" s="613"/>
      <c r="AA70" s="613"/>
      <c r="AB70" s="613"/>
      <c r="AC70" s="613"/>
      <c r="AD70" s="613"/>
      <c r="AE70" s="613"/>
      <c r="AF70" s="613"/>
      <c r="AG70" s="613"/>
      <c r="AH70" s="613"/>
      <c r="AI70" s="613"/>
      <c r="AJ70" s="613"/>
      <c r="AK70" s="613"/>
      <c r="AL70" s="613"/>
      <c r="AM70" s="8"/>
      <c r="AN70" s="569"/>
      <c r="AO70" s="569"/>
      <c r="AP70" s="569"/>
      <c r="AQ70" s="572"/>
      <c r="AR70" s="573"/>
      <c r="AS70" s="573"/>
      <c r="AT70" s="573"/>
      <c r="AU70" s="573"/>
      <c r="AV70" s="574"/>
      <c r="AW70" s="569"/>
      <c r="AX70" s="569"/>
      <c r="AY70" s="569"/>
      <c r="AZ70" s="572"/>
      <c r="BA70" s="573"/>
      <c r="BB70" s="573"/>
      <c r="BC70" s="573"/>
      <c r="BD70" s="573"/>
      <c r="BE70" s="574"/>
      <c r="BF70" s="8"/>
      <c r="BG70" s="8"/>
      <c r="BH70" s="8"/>
      <c r="BI70" s="8"/>
      <c r="BJ70" s="8"/>
      <c r="BK70" s="8"/>
      <c r="BL70" s="8"/>
      <c r="BM70" s="8"/>
      <c r="BN70" s="8"/>
      <c r="BO70" s="8"/>
      <c r="BP70" s="8"/>
      <c r="BQ70" s="8"/>
      <c r="BR70" s="8"/>
      <c r="BS70" s="8"/>
      <c r="BT70" s="8"/>
      <c r="BU70" s="8"/>
      <c r="BV70" s="8"/>
      <c r="BW70" s="8"/>
      <c r="BX70" s="8"/>
      <c r="BY70" s="8"/>
      <c r="BZ70" s="8"/>
      <c r="CA70" s="8"/>
      <c r="CB70" s="8"/>
      <c r="CC70" s="8"/>
    </row>
    <row r="71" spans="1:81" ht="15" customHeight="1">
      <c r="A71" s="8"/>
      <c r="B71" s="8"/>
      <c r="C71" s="8"/>
      <c r="D71" s="8"/>
      <c r="E71" s="8"/>
      <c r="F71" s="8"/>
      <c r="G71" s="8"/>
      <c r="H71" s="8"/>
      <c r="I71" s="8"/>
      <c r="J71" s="8"/>
      <c r="K71" s="8"/>
      <c r="L71" s="8"/>
      <c r="M71" s="8"/>
      <c r="N71" s="8"/>
      <c r="O71" s="8"/>
      <c r="P71" s="8"/>
      <c r="Q71" s="8"/>
      <c r="R71" s="8"/>
      <c r="S71" s="596" t="s">
        <v>483</v>
      </c>
      <c r="T71" s="596"/>
      <c r="U71" s="596" t="s">
        <v>484</v>
      </c>
      <c r="V71" s="596"/>
      <c r="W71" s="596" t="s">
        <v>485</v>
      </c>
      <c r="X71" s="596"/>
      <c r="Y71" s="596" t="s">
        <v>486</v>
      </c>
      <c r="Z71" s="596"/>
      <c r="AA71" s="596" t="s">
        <v>487</v>
      </c>
      <c r="AB71" s="596"/>
      <c r="AC71" s="630" t="s">
        <v>488</v>
      </c>
      <c r="AD71" s="630"/>
      <c r="AE71" s="630" t="s">
        <v>489</v>
      </c>
      <c r="AF71" s="630"/>
      <c r="AG71" s="596" t="s">
        <v>490</v>
      </c>
      <c r="AH71" s="596"/>
      <c r="AI71" s="596" t="s">
        <v>491</v>
      </c>
      <c r="AJ71" s="596"/>
      <c r="AK71" s="596" t="s">
        <v>492</v>
      </c>
      <c r="AL71" s="596"/>
      <c r="AM71" s="8"/>
      <c r="AN71" s="569"/>
      <c r="AO71" s="569"/>
      <c r="AP71" s="569"/>
      <c r="AQ71" s="572"/>
      <c r="AR71" s="573"/>
      <c r="AS71" s="573"/>
      <c r="AT71" s="573"/>
      <c r="AU71" s="573"/>
      <c r="AV71" s="574"/>
      <c r="AW71" s="569"/>
      <c r="AX71" s="569"/>
      <c r="AY71" s="569"/>
      <c r="AZ71" s="572"/>
      <c r="BA71" s="573"/>
      <c r="BB71" s="573"/>
      <c r="BC71" s="573"/>
      <c r="BD71" s="573"/>
      <c r="BE71" s="574"/>
      <c r="BF71" s="8"/>
      <c r="BG71" s="8"/>
      <c r="BH71" s="8"/>
      <c r="BI71" s="8"/>
      <c r="BJ71" s="8"/>
      <c r="BK71" s="8"/>
      <c r="BL71" s="8"/>
      <c r="BM71" s="8"/>
      <c r="BN71" s="8"/>
      <c r="BO71" s="8"/>
      <c r="BP71" s="8"/>
      <c r="BQ71" s="8"/>
      <c r="BR71" s="8"/>
      <c r="BS71" s="8"/>
      <c r="BT71" s="8"/>
      <c r="BU71" s="8"/>
      <c r="BV71" s="8"/>
      <c r="BW71" s="8"/>
      <c r="BX71" s="8"/>
      <c r="BY71" s="8"/>
      <c r="BZ71" s="8"/>
      <c r="CA71" s="8"/>
      <c r="CB71" s="8"/>
      <c r="CC71" s="8"/>
    </row>
    <row r="72" spans="1:81" ht="15" customHeight="1">
      <c r="A72" s="8"/>
      <c r="B72" s="8"/>
      <c r="C72" s="619"/>
      <c r="D72" s="619"/>
      <c r="E72" s="619"/>
      <c r="F72" s="619"/>
      <c r="G72" s="619"/>
      <c r="H72" s="620" t="s">
        <v>477</v>
      </c>
      <c r="I72" s="621"/>
      <c r="J72" s="621"/>
      <c r="K72" s="622"/>
      <c r="L72" s="611"/>
      <c r="M72" s="612"/>
      <c r="N72" s="629" t="s">
        <v>478</v>
      </c>
      <c r="O72" s="629"/>
      <c r="P72" s="629"/>
      <c r="Q72" s="629"/>
      <c r="R72" s="629"/>
      <c r="S72" s="565" t="str">
        <f>IF(J73=7,"-",10+INDEX($G$18:$G$24,J73)+J74)</f>
        <v>-</v>
      </c>
      <c r="T72" s="565"/>
      <c r="U72" s="565" t="str">
        <f>IF(J73=7,"-",S72+1)</f>
        <v>-</v>
      </c>
      <c r="V72" s="565"/>
      <c r="W72" s="565" t="str">
        <f>IF(J73=7,"-",S72+2)</f>
        <v>-</v>
      </c>
      <c r="X72" s="565"/>
      <c r="Y72" s="565" t="str">
        <f>IF(J73=7,"-",S72+3)</f>
        <v>-</v>
      </c>
      <c r="Z72" s="565"/>
      <c r="AA72" s="565" t="str">
        <f>IF(J73=7,"-",S72+4)</f>
        <v>-</v>
      </c>
      <c r="AB72" s="565"/>
      <c r="AC72" s="565" t="str">
        <f>IF(J73=7,"-",S72+5)</f>
        <v>-</v>
      </c>
      <c r="AD72" s="565"/>
      <c r="AE72" s="565" t="str">
        <f>IF(J73=7,"-",S72+6)</f>
        <v>-</v>
      </c>
      <c r="AF72" s="565"/>
      <c r="AG72" s="565" t="str">
        <f>IF(J73=7,"-",S72+7)</f>
        <v>-</v>
      </c>
      <c r="AH72" s="565"/>
      <c r="AI72" s="565" t="str">
        <f>IF(J73=7,"-",S72+8)</f>
        <v>-</v>
      </c>
      <c r="AJ72" s="565"/>
      <c r="AK72" s="565" t="str">
        <f>IF(J73=7,"-",S72+9)</f>
        <v>-</v>
      </c>
      <c r="AL72" s="565"/>
      <c r="AM72" s="8"/>
      <c r="AN72" s="569"/>
      <c r="AO72" s="569"/>
      <c r="AP72" s="569"/>
      <c r="AQ72" s="572"/>
      <c r="AR72" s="573"/>
      <c r="AS72" s="573"/>
      <c r="AT72" s="573"/>
      <c r="AU72" s="573"/>
      <c r="AV72" s="574"/>
      <c r="AW72" s="569"/>
      <c r="AX72" s="569"/>
      <c r="AY72" s="569"/>
      <c r="AZ72" s="572"/>
      <c r="BA72" s="573"/>
      <c r="BB72" s="573"/>
      <c r="BC72" s="573"/>
      <c r="BD72" s="573"/>
      <c r="BE72" s="574"/>
      <c r="BF72" s="8"/>
      <c r="BG72" s="8"/>
      <c r="BH72" s="8"/>
      <c r="BI72" s="8"/>
      <c r="BJ72" s="8"/>
      <c r="BK72" s="8"/>
      <c r="BL72" s="8"/>
      <c r="BM72" s="8"/>
      <c r="BN72" s="8"/>
      <c r="BO72" s="8"/>
      <c r="BP72" s="8"/>
      <c r="BQ72" s="8"/>
      <c r="BR72" s="8"/>
      <c r="BS72" s="8"/>
      <c r="BT72" s="8"/>
      <c r="BU72" s="8"/>
      <c r="BV72" s="8"/>
      <c r="BW72" s="8"/>
      <c r="BX72" s="8"/>
      <c r="BY72" s="8"/>
      <c r="BZ72" s="8"/>
      <c r="CA72" s="8"/>
      <c r="CB72" s="8"/>
      <c r="CC72" s="8"/>
    </row>
    <row r="73" spans="1:81" ht="15" customHeight="1">
      <c r="A73" s="8"/>
      <c r="B73" s="8"/>
      <c r="C73" s="8"/>
      <c r="D73" s="8"/>
      <c r="E73" s="8"/>
      <c r="F73" s="616" t="s">
        <v>479</v>
      </c>
      <c r="G73" s="617"/>
      <c r="H73" s="617"/>
      <c r="I73" s="618"/>
      <c r="J73" s="625">
        <v>7</v>
      </c>
      <c r="K73" s="626"/>
      <c r="L73" s="626"/>
      <c r="M73" s="627"/>
      <c r="N73" s="610" t="s">
        <v>480</v>
      </c>
      <c r="O73" s="610"/>
      <c r="P73" s="610"/>
      <c r="Q73" s="610"/>
      <c r="R73" s="610"/>
      <c r="S73" s="613"/>
      <c r="T73" s="613"/>
      <c r="U73" s="613"/>
      <c r="V73" s="613"/>
      <c r="W73" s="613"/>
      <c r="X73" s="613"/>
      <c r="Y73" s="613"/>
      <c r="Z73" s="613"/>
      <c r="AA73" s="613"/>
      <c r="AB73" s="613"/>
      <c r="AC73" s="613"/>
      <c r="AD73" s="613"/>
      <c r="AE73" s="613"/>
      <c r="AF73" s="613"/>
      <c r="AG73" s="613"/>
      <c r="AH73" s="613"/>
      <c r="AI73" s="613"/>
      <c r="AJ73" s="613"/>
      <c r="AK73" s="613"/>
      <c r="AL73" s="613"/>
      <c r="AM73" s="8"/>
      <c r="AN73" s="569" t="s">
        <v>912</v>
      </c>
      <c r="AO73" s="569"/>
      <c r="AP73" s="569"/>
      <c r="AQ73" s="572"/>
      <c r="AR73" s="573"/>
      <c r="AS73" s="573"/>
      <c r="AT73" s="573"/>
      <c r="AU73" s="573"/>
      <c r="AV73" s="574"/>
      <c r="AW73" s="569"/>
      <c r="AX73" s="569"/>
      <c r="AY73" s="569"/>
      <c r="AZ73" s="572"/>
      <c r="BA73" s="573"/>
      <c r="BB73" s="573"/>
      <c r="BC73" s="573"/>
      <c r="BD73" s="573"/>
      <c r="BE73" s="574"/>
      <c r="BF73" s="8"/>
      <c r="BG73" s="8"/>
      <c r="BH73" s="8"/>
      <c r="BI73" s="8"/>
      <c r="BJ73" s="8"/>
      <c r="BK73" s="8"/>
      <c r="BL73" s="8"/>
      <c r="BM73" s="8"/>
      <c r="BN73" s="8"/>
      <c r="BO73" s="8"/>
      <c r="BP73" s="8"/>
      <c r="BQ73" s="8"/>
      <c r="BR73" s="8"/>
      <c r="BS73" s="8"/>
      <c r="BT73" s="8"/>
      <c r="BU73" s="8"/>
      <c r="BV73" s="8"/>
      <c r="BW73" s="8"/>
      <c r="BX73" s="8"/>
      <c r="BY73" s="8"/>
      <c r="BZ73" s="8"/>
      <c r="CA73" s="8"/>
      <c r="CB73" s="8"/>
      <c r="CC73" s="8"/>
    </row>
    <row r="74" spans="1:81" ht="15" customHeight="1">
      <c r="A74" s="8"/>
      <c r="B74" s="8"/>
      <c r="C74" s="8"/>
      <c r="D74" s="8"/>
      <c r="E74" s="8"/>
      <c r="F74" s="616" t="s">
        <v>481</v>
      </c>
      <c r="G74" s="617"/>
      <c r="H74" s="617"/>
      <c r="I74" s="618"/>
      <c r="J74" s="623">
        <f>IF('能力'!J73=7,"",INDEX('能力'!$L$18:$L$23,'能力'!J73))</f>
      </c>
      <c r="K74" s="624"/>
      <c r="L74" s="8"/>
      <c r="M74" s="8"/>
      <c r="N74" s="610" t="s">
        <v>482</v>
      </c>
      <c r="O74" s="610"/>
      <c r="P74" s="610"/>
      <c r="Q74" s="610"/>
      <c r="R74" s="610"/>
      <c r="S74" s="613"/>
      <c r="T74" s="613"/>
      <c r="U74" s="613"/>
      <c r="V74" s="613"/>
      <c r="W74" s="613"/>
      <c r="X74" s="613"/>
      <c r="Y74" s="613"/>
      <c r="Z74" s="613"/>
      <c r="AA74" s="613"/>
      <c r="AB74" s="613"/>
      <c r="AC74" s="613"/>
      <c r="AD74" s="613"/>
      <c r="AE74" s="613"/>
      <c r="AF74" s="613"/>
      <c r="AG74" s="613"/>
      <c r="AH74" s="613"/>
      <c r="AI74" s="613"/>
      <c r="AJ74" s="613"/>
      <c r="AK74" s="613"/>
      <c r="AL74" s="613"/>
      <c r="AM74" s="8"/>
      <c r="AN74" s="569">
        <v>2</v>
      </c>
      <c r="AO74" s="569"/>
      <c r="AP74" s="569"/>
      <c r="AQ74" s="572" t="s">
        <v>914</v>
      </c>
      <c r="AR74" s="573"/>
      <c r="AS74" s="573"/>
      <c r="AT74" s="573"/>
      <c r="AU74" s="573"/>
      <c r="AV74" s="574"/>
      <c r="AW74" s="569"/>
      <c r="AX74" s="569"/>
      <c r="AY74" s="569"/>
      <c r="AZ74" s="572"/>
      <c r="BA74" s="573"/>
      <c r="BB74" s="573"/>
      <c r="BC74" s="573"/>
      <c r="BD74" s="573"/>
      <c r="BE74" s="574"/>
      <c r="BF74" s="8"/>
      <c r="BG74" s="8"/>
      <c r="BH74" s="8"/>
      <c r="BI74" s="8"/>
      <c r="BJ74" s="8"/>
      <c r="BK74" s="8"/>
      <c r="BL74" s="8"/>
      <c r="BM74" s="8"/>
      <c r="BN74" s="8"/>
      <c r="BO74" s="8"/>
      <c r="BP74" s="8"/>
      <c r="BQ74" s="8"/>
      <c r="BR74" s="8"/>
      <c r="BS74" s="8"/>
      <c r="BT74" s="8"/>
      <c r="BU74" s="8"/>
      <c r="BV74" s="8"/>
      <c r="BW74" s="8"/>
      <c r="BX74" s="8"/>
      <c r="BY74" s="8"/>
      <c r="BZ74" s="8"/>
      <c r="CA74" s="8"/>
      <c r="CB74" s="8"/>
      <c r="CC74" s="8"/>
    </row>
    <row r="75" spans="1:81" ht="15" customHeight="1">
      <c r="A75" s="8"/>
      <c r="B75" s="8"/>
      <c r="C75" s="8"/>
      <c r="D75" s="8"/>
      <c r="E75" s="8"/>
      <c r="F75" s="8"/>
      <c r="G75" s="8"/>
      <c r="H75" s="8"/>
      <c r="I75" s="8"/>
      <c r="J75" s="8"/>
      <c r="K75" s="8"/>
      <c r="L75" s="8"/>
      <c r="M75" s="8"/>
      <c r="N75" s="8"/>
      <c r="O75" s="8"/>
      <c r="P75" s="8"/>
      <c r="Q75" s="8"/>
      <c r="R75" s="8"/>
      <c r="S75" s="596" t="s">
        <v>483</v>
      </c>
      <c r="T75" s="596"/>
      <c r="U75" s="596" t="s">
        <v>484</v>
      </c>
      <c r="V75" s="596"/>
      <c r="W75" s="596" t="s">
        <v>485</v>
      </c>
      <c r="X75" s="596"/>
      <c r="Y75" s="596" t="s">
        <v>486</v>
      </c>
      <c r="Z75" s="596"/>
      <c r="AA75" s="596" t="s">
        <v>487</v>
      </c>
      <c r="AB75" s="596"/>
      <c r="AC75" s="630" t="s">
        <v>488</v>
      </c>
      <c r="AD75" s="630"/>
      <c r="AE75" s="630" t="s">
        <v>489</v>
      </c>
      <c r="AF75" s="630"/>
      <c r="AG75" s="596" t="s">
        <v>490</v>
      </c>
      <c r="AH75" s="596"/>
      <c r="AI75" s="596" t="s">
        <v>491</v>
      </c>
      <c r="AJ75" s="596"/>
      <c r="AK75" s="596" t="s">
        <v>492</v>
      </c>
      <c r="AL75" s="596"/>
      <c r="AM75" s="8"/>
      <c r="AN75" s="569">
        <v>4</v>
      </c>
      <c r="AO75" s="569"/>
      <c r="AP75" s="569"/>
      <c r="AQ75" s="572" t="s">
        <v>927</v>
      </c>
      <c r="AR75" s="573"/>
      <c r="AS75" s="573"/>
      <c r="AT75" s="573"/>
      <c r="AU75" s="573"/>
      <c r="AV75" s="574"/>
      <c r="AW75" s="569"/>
      <c r="AX75" s="569"/>
      <c r="AY75" s="569"/>
      <c r="AZ75" s="572"/>
      <c r="BA75" s="573"/>
      <c r="BB75" s="573"/>
      <c r="BC75" s="573"/>
      <c r="BD75" s="573"/>
      <c r="BE75" s="574"/>
      <c r="BF75" s="8"/>
      <c r="BG75" s="8"/>
      <c r="BH75" s="8"/>
      <c r="BI75" s="8"/>
      <c r="BJ75" s="8"/>
      <c r="BK75" s="8"/>
      <c r="BL75" s="8"/>
      <c r="BM75" s="8"/>
      <c r="BN75" s="8"/>
      <c r="BO75" s="8"/>
      <c r="BP75" s="8"/>
      <c r="BQ75" s="8"/>
      <c r="BR75" s="8"/>
      <c r="BS75" s="8"/>
      <c r="BT75" s="8"/>
      <c r="BU75" s="8"/>
      <c r="BV75" s="8"/>
      <c r="BW75" s="8"/>
      <c r="BX75" s="8"/>
      <c r="BY75" s="8"/>
      <c r="BZ75" s="8"/>
      <c r="CA75" s="8"/>
      <c r="CB75" s="8"/>
      <c r="CC75" s="8"/>
    </row>
    <row r="76" spans="1:81" ht="15" customHeight="1">
      <c r="A76" s="8"/>
      <c r="B76" s="8"/>
      <c r="C76" s="619"/>
      <c r="D76" s="619"/>
      <c r="E76" s="619"/>
      <c r="F76" s="619"/>
      <c r="G76" s="619"/>
      <c r="H76" s="620" t="s">
        <v>493</v>
      </c>
      <c r="I76" s="621"/>
      <c r="J76" s="621"/>
      <c r="K76" s="622"/>
      <c r="L76" s="611"/>
      <c r="M76" s="612"/>
      <c r="N76" s="628" t="s">
        <v>478</v>
      </c>
      <c r="O76" s="628"/>
      <c r="P76" s="628"/>
      <c r="Q76" s="628"/>
      <c r="R76" s="628"/>
      <c r="S76" s="565" t="s">
        <v>494</v>
      </c>
      <c r="T76" s="565"/>
      <c r="U76" s="565" t="str">
        <f>IF(J77=7,"-",10+INDEX($G$18:$G$24,J77)+1+J78)</f>
        <v>-</v>
      </c>
      <c r="V76" s="565"/>
      <c r="W76" s="565" t="str">
        <f>IF($J$77=7,"-",U76+1)</f>
        <v>-</v>
      </c>
      <c r="X76" s="565"/>
      <c r="Y76" s="565" t="str">
        <f>IF($J$77=7,"-",W76+1)</f>
        <v>-</v>
      </c>
      <c r="Z76" s="565"/>
      <c r="AA76" s="565" t="str">
        <f>IF($J$77=7,"-",Y76+1)</f>
        <v>-</v>
      </c>
      <c r="AB76" s="565"/>
      <c r="AC76" s="565" t="str">
        <f>IF($J$77=7,"-",AA76+1)</f>
        <v>-</v>
      </c>
      <c r="AD76" s="565"/>
      <c r="AE76" s="565" t="str">
        <f>IF($J$77=7,"-",AC76+1)</f>
        <v>-</v>
      </c>
      <c r="AF76" s="565"/>
      <c r="AG76" s="565" t="str">
        <f>IF($J$77=7,"-",AE76+1)</f>
        <v>-</v>
      </c>
      <c r="AH76" s="565"/>
      <c r="AI76" s="565" t="str">
        <f>IF($J$77=7,"-",AG76+1)</f>
        <v>-</v>
      </c>
      <c r="AJ76" s="565"/>
      <c r="AK76" s="565" t="str">
        <f>IF($J$77=7,"-",AI76+1)</f>
        <v>-</v>
      </c>
      <c r="AL76" s="565"/>
      <c r="AM76" s="8"/>
      <c r="AN76" s="569">
        <v>6</v>
      </c>
      <c r="AO76" s="569"/>
      <c r="AP76" s="569"/>
      <c r="AQ76" s="572" t="s">
        <v>913</v>
      </c>
      <c r="AR76" s="573"/>
      <c r="AS76" s="573"/>
      <c r="AT76" s="573"/>
      <c r="AU76" s="573"/>
      <c r="AV76" s="574"/>
      <c r="AW76" s="569"/>
      <c r="AX76" s="569"/>
      <c r="AY76" s="569"/>
      <c r="AZ76" s="572"/>
      <c r="BA76" s="573"/>
      <c r="BB76" s="573"/>
      <c r="BC76" s="573"/>
      <c r="BD76" s="573"/>
      <c r="BE76" s="574"/>
      <c r="BF76" s="8"/>
      <c r="BG76" s="8"/>
      <c r="BH76" s="8"/>
      <c r="BI76" s="8"/>
      <c r="BJ76" s="8"/>
      <c r="BK76" s="8"/>
      <c r="BL76" s="8"/>
      <c r="BM76" s="8"/>
      <c r="BN76" s="8"/>
      <c r="BO76" s="8"/>
      <c r="BP76" s="8"/>
      <c r="BQ76" s="8"/>
      <c r="BR76" s="8"/>
      <c r="BS76" s="8"/>
      <c r="BT76" s="8"/>
      <c r="BU76" s="8"/>
      <c r="BV76" s="8"/>
      <c r="BW76" s="8"/>
      <c r="BX76" s="8"/>
      <c r="BY76" s="8"/>
      <c r="BZ76" s="8"/>
      <c r="CA76" s="8"/>
      <c r="CB76" s="8"/>
      <c r="CC76" s="8"/>
    </row>
    <row r="77" spans="1:81" ht="15" customHeight="1">
      <c r="A77" s="8"/>
      <c r="B77" s="8"/>
      <c r="C77" s="1"/>
      <c r="D77" s="1"/>
      <c r="E77" s="1"/>
      <c r="F77" s="616" t="s">
        <v>479</v>
      </c>
      <c r="G77" s="617"/>
      <c r="H77" s="617"/>
      <c r="I77" s="618"/>
      <c r="J77" s="663">
        <v>7</v>
      </c>
      <c r="K77" s="663"/>
      <c r="L77" s="663"/>
      <c r="M77" s="663"/>
      <c r="N77" s="610" t="s">
        <v>495</v>
      </c>
      <c r="O77" s="610"/>
      <c r="P77" s="610"/>
      <c r="Q77" s="610"/>
      <c r="R77" s="610"/>
      <c r="S77" s="565" t="s">
        <v>496</v>
      </c>
      <c r="T77" s="565"/>
      <c r="U77" s="613"/>
      <c r="V77" s="613"/>
      <c r="W77" s="613"/>
      <c r="X77" s="613"/>
      <c r="Y77" s="613"/>
      <c r="Z77" s="613"/>
      <c r="AA77" s="613"/>
      <c r="AB77" s="613"/>
      <c r="AC77" s="613"/>
      <c r="AD77" s="613"/>
      <c r="AE77" s="613"/>
      <c r="AF77" s="613"/>
      <c r="AG77" s="613"/>
      <c r="AH77" s="613"/>
      <c r="AI77" s="613"/>
      <c r="AJ77" s="613"/>
      <c r="AK77" s="613"/>
      <c r="AL77" s="613"/>
      <c r="AM77" s="8"/>
      <c r="AN77" s="569">
        <v>8</v>
      </c>
      <c r="AO77" s="569"/>
      <c r="AP77" s="569"/>
      <c r="AQ77" s="572" t="s">
        <v>918</v>
      </c>
      <c r="AR77" s="573"/>
      <c r="AS77" s="573"/>
      <c r="AT77" s="573"/>
      <c r="AU77" s="573"/>
      <c r="AV77" s="574"/>
      <c r="AW77" s="569"/>
      <c r="AX77" s="569"/>
      <c r="AY77" s="569"/>
      <c r="AZ77" s="572"/>
      <c r="BA77" s="573"/>
      <c r="BB77" s="573"/>
      <c r="BC77" s="573"/>
      <c r="BD77" s="573"/>
      <c r="BE77" s="574"/>
      <c r="BF77" s="8"/>
      <c r="BG77" s="8"/>
      <c r="BH77" s="8"/>
      <c r="BI77" s="8"/>
      <c r="BJ77" s="8"/>
      <c r="BK77" s="8"/>
      <c r="BL77" s="8"/>
      <c r="BM77" s="8"/>
      <c r="BN77" s="8"/>
      <c r="BO77" s="8"/>
      <c r="BP77" s="8"/>
      <c r="BQ77" s="8"/>
      <c r="BR77" s="8"/>
      <c r="BS77" s="8"/>
      <c r="BT77" s="8"/>
      <c r="BU77" s="8"/>
      <c r="BV77" s="8"/>
      <c r="BW77" s="8"/>
      <c r="BX77" s="8"/>
      <c r="BY77" s="8"/>
      <c r="BZ77" s="8"/>
      <c r="CA77" s="8"/>
      <c r="CB77" s="8"/>
      <c r="CC77" s="8"/>
    </row>
    <row r="78" spans="1:81" ht="15" customHeight="1">
      <c r="A78" s="8"/>
      <c r="B78" s="8"/>
      <c r="C78" s="8"/>
      <c r="D78" s="8"/>
      <c r="E78" s="8"/>
      <c r="F78" s="616" t="s">
        <v>481</v>
      </c>
      <c r="G78" s="617"/>
      <c r="H78" s="617"/>
      <c r="I78" s="618"/>
      <c r="J78" s="623">
        <f>IF('能力'!J77=7,"",INDEX('能力'!$L$18:$L$23,'能力'!J77))</f>
      </c>
      <c r="K78" s="624"/>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569">
        <v>10</v>
      </c>
      <c r="AO78" s="569"/>
      <c r="AP78" s="569"/>
      <c r="AQ78" s="572" t="s">
        <v>931</v>
      </c>
      <c r="AR78" s="573"/>
      <c r="AS78" s="573"/>
      <c r="AT78" s="573"/>
      <c r="AU78" s="573"/>
      <c r="AV78" s="574"/>
      <c r="AW78" s="569"/>
      <c r="AX78" s="569"/>
      <c r="AY78" s="569"/>
      <c r="AZ78" s="572"/>
      <c r="BA78" s="573"/>
      <c r="BB78" s="573"/>
      <c r="BC78" s="573"/>
      <c r="BD78" s="573"/>
      <c r="BE78" s="574"/>
      <c r="BF78" s="8"/>
      <c r="BG78" s="8"/>
      <c r="BH78" s="8"/>
      <c r="BI78" s="8"/>
      <c r="BJ78" s="8"/>
      <c r="BK78" s="8"/>
      <c r="BL78" s="8"/>
      <c r="BM78" s="8"/>
      <c r="BN78" s="8"/>
      <c r="BO78" s="8"/>
      <c r="BP78" s="8"/>
      <c r="BQ78" s="8"/>
      <c r="BR78" s="8"/>
      <c r="BS78" s="8"/>
      <c r="BT78" s="8"/>
      <c r="BU78" s="8"/>
      <c r="BV78" s="8"/>
      <c r="BW78" s="8"/>
      <c r="BX78" s="8"/>
      <c r="BY78" s="8"/>
      <c r="BZ78" s="8"/>
      <c r="CA78" s="8"/>
      <c r="CB78" s="8"/>
      <c r="CC78" s="8"/>
    </row>
    <row r="79" spans="1:81" ht="15" customHeight="1">
      <c r="A79" s="8"/>
      <c r="B79" s="8"/>
      <c r="C79" s="8"/>
      <c r="D79" s="8"/>
      <c r="E79" s="8"/>
      <c r="F79" s="8"/>
      <c r="G79" s="8"/>
      <c r="H79" s="8"/>
      <c r="I79" s="8"/>
      <c r="J79" s="8"/>
      <c r="K79" s="8"/>
      <c r="L79" s="8"/>
      <c r="M79" s="8"/>
      <c r="N79" s="8"/>
      <c r="O79" s="8"/>
      <c r="P79" s="8"/>
      <c r="Q79" s="8"/>
      <c r="R79" s="8"/>
      <c r="T79" s="8"/>
      <c r="U79" s="8"/>
      <c r="V79" s="8"/>
      <c r="W79" s="8"/>
      <c r="X79" s="8"/>
      <c r="Y79" s="8"/>
      <c r="Z79" s="8"/>
      <c r="AA79" s="8"/>
      <c r="AB79" s="8"/>
      <c r="AC79" s="8"/>
      <c r="AD79" s="8"/>
      <c r="AE79" s="8"/>
      <c r="AF79" s="8"/>
      <c r="AG79" s="653" t="s">
        <v>497</v>
      </c>
      <c r="AH79" s="653"/>
      <c r="AI79" s="653"/>
      <c r="AJ79" s="649" t="str">
        <f>'装備'!E5</f>
        <v>Light</v>
      </c>
      <c r="AK79" s="649"/>
      <c r="AL79" s="650"/>
      <c r="AM79" s="8"/>
      <c r="AN79" s="569"/>
      <c r="AO79" s="569"/>
      <c r="AP79" s="569"/>
      <c r="AQ79" s="572"/>
      <c r="AR79" s="573"/>
      <c r="AS79" s="573"/>
      <c r="AT79" s="573"/>
      <c r="AU79" s="573"/>
      <c r="AV79" s="574"/>
      <c r="AW79" s="569"/>
      <c r="AX79" s="569"/>
      <c r="AY79" s="569"/>
      <c r="AZ79" s="572"/>
      <c r="BA79" s="573"/>
      <c r="BB79" s="573"/>
      <c r="BC79" s="573"/>
      <c r="BD79" s="573"/>
      <c r="BE79" s="574"/>
      <c r="BF79" s="8"/>
      <c r="BG79" s="8"/>
      <c r="BH79" s="8"/>
      <c r="BI79" s="8"/>
      <c r="BJ79" s="8"/>
      <c r="BK79" s="8"/>
      <c r="BL79" s="8"/>
      <c r="BM79" s="8"/>
      <c r="BN79" s="8"/>
      <c r="BO79" s="8"/>
      <c r="BP79" s="8"/>
      <c r="BQ79" s="8"/>
      <c r="BR79" s="8"/>
      <c r="BS79" s="8"/>
      <c r="BT79" s="8"/>
      <c r="BU79" s="8"/>
      <c r="BV79" s="8"/>
      <c r="BW79" s="8"/>
      <c r="BX79" s="8"/>
      <c r="BY79" s="8"/>
      <c r="BZ79" s="8"/>
      <c r="CA79" s="8"/>
      <c r="CB79" s="8"/>
      <c r="CC79" s="8"/>
    </row>
    <row r="80" spans="1:81" ht="15" customHeight="1" thickBot="1">
      <c r="A80" s="8"/>
      <c r="B80" s="8"/>
      <c r="C80" s="865" t="s">
        <v>498</v>
      </c>
      <c r="D80" s="866"/>
      <c r="E80" s="865" t="s">
        <v>499</v>
      </c>
      <c r="F80" s="871"/>
      <c r="G80" s="871"/>
      <c r="H80" s="871"/>
      <c r="I80" s="866"/>
      <c r="J80" s="945" t="s">
        <v>398</v>
      </c>
      <c r="K80" s="946"/>
      <c r="L80" s="946"/>
      <c r="M80" s="942" t="s">
        <v>500</v>
      </c>
      <c r="N80" s="943"/>
      <c r="O80" s="944" t="s">
        <v>379</v>
      </c>
      <c r="P80" s="944"/>
      <c r="Q80" s="888" t="s">
        <v>841</v>
      </c>
      <c r="R80" s="888"/>
      <c r="S80" s="888" t="s">
        <v>501</v>
      </c>
      <c r="T80" s="888"/>
      <c r="U80" s="888" t="s">
        <v>356</v>
      </c>
      <c r="V80" s="888"/>
      <c r="W80" s="889" t="s">
        <v>502</v>
      </c>
      <c r="X80" s="889"/>
      <c r="Y80" s="889" t="s">
        <v>357</v>
      </c>
      <c r="Z80" s="889"/>
      <c r="AA80" s="888" t="s">
        <v>503</v>
      </c>
      <c r="AB80" s="888"/>
      <c r="AC80" s="889" t="s">
        <v>504</v>
      </c>
      <c r="AD80" s="889"/>
      <c r="AE80" s="8"/>
      <c r="AF80" s="8"/>
      <c r="AG80" s="653"/>
      <c r="AH80" s="653"/>
      <c r="AI80" s="653"/>
      <c r="AJ80" s="651"/>
      <c r="AK80" s="651"/>
      <c r="AL80" s="652"/>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row>
    <row r="81" spans="1:81" ht="15" customHeight="1" thickBot="1" thickTop="1">
      <c r="A81" s="8"/>
      <c r="B81" s="8"/>
      <c r="C81" s="867"/>
      <c r="D81" s="868"/>
      <c r="E81" s="872" t="s">
        <v>840</v>
      </c>
      <c r="F81" s="873"/>
      <c r="G81" s="873"/>
      <c r="H81" s="873"/>
      <c r="I81" s="874"/>
      <c r="J81" s="878">
        <f>SUM(M81:AD81)</f>
        <v>18</v>
      </c>
      <c r="K81" s="879"/>
      <c r="L81" s="880"/>
      <c r="M81" s="882">
        <f>O32</f>
        <v>11</v>
      </c>
      <c r="N81" s="868"/>
      <c r="O81" s="883">
        <f>L18</f>
        <v>7</v>
      </c>
      <c r="P81" s="883"/>
      <c r="Q81" s="890"/>
      <c r="R81" s="890"/>
      <c r="S81" s="886"/>
      <c r="T81" s="886"/>
      <c r="U81" s="886"/>
      <c r="V81" s="886"/>
      <c r="W81" s="890">
        <f>INDEX(CF5:CF13,BR5)</f>
        <v>0</v>
      </c>
      <c r="X81" s="890"/>
      <c r="Y81" s="886"/>
      <c r="Z81" s="886"/>
      <c r="AA81" s="881"/>
      <c r="AB81" s="881"/>
      <c r="AC81" s="886"/>
      <c r="AD81" s="887"/>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row>
    <row r="82" spans="1:81" ht="15" customHeight="1" thickTop="1">
      <c r="A82" s="8"/>
      <c r="B82" s="8"/>
      <c r="C82" s="814"/>
      <c r="D82" s="815"/>
      <c r="E82" s="875"/>
      <c r="F82" s="876"/>
      <c r="G82" s="876"/>
      <c r="H82" s="876"/>
      <c r="I82" s="877"/>
      <c r="J82" s="694">
        <f>SUM(M82:AD82)</f>
        <v>0</v>
      </c>
      <c r="K82" s="668"/>
      <c r="L82" s="695"/>
      <c r="M82" s="869"/>
      <c r="N82" s="781"/>
      <c r="O82" s="884"/>
      <c r="P82" s="884"/>
      <c r="Q82" s="884"/>
      <c r="R82" s="884"/>
      <c r="S82" s="891"/>
      <c r="T82" s="891"/>
      <c r="U82" s="891"/>
      <c r="V82" s="891"/>
      <c r="W82" s="884">
        <f>W81</f>
        <v>0</v>
      </c>
      <c r="X82" s="884"/>
      <c r="Y82" s="891"/>
      <c r="Z82" s="891"/>
      <c r="AA82" s="884"/>
      <c r="AB82" s="884"/>
      <c r="AC82" s="884"/>
      <c r="AD82" s="884"/>
      <c r="AE82" s="8"/>
      <c r="AF82" s="8"/>
      <c r="AG82" s="595" t="s">
        <v>505</v>
      </c>
      <c r="AH82" s="595"/>
      <c r="AI82" s="595"/>
      <c r="AJ82" s="595" t="s">
        <v>506</v>
      </c>
      <c r="AK82" s="595"/>
      <c r="AL82" s="595" t="s">
        <v>507</v>
      </c>
      <c r="AM82" s="595"/>
      <c r="AN82" s="595" t="s">
        <v>508</v>
      </c>
      <c r="AO82" s="595"/>
      <c r="AP82" s="8"/>
      <c r="AQ82" s="642" t="s">
        <v>509</v>
      </c>
      <c r="AR82" s="643"/>
      <c r="AS82" s="643"/>
      <c r="AT82" s="643"/>
      <c r="AU82" s="644"/>
      <c r="AV82" s="8"/>
      <c r="AW82" s="642" t="s">
        <v>510</v>
      </c>
      <c r="AX82" s="643"/>
      <c r="AY82" s="644"/>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row>
    <row r="83" spans="1:81" ht="15" customHeight="1">
      <c r="A83" s="8"/>
      <c r="B83" s="8"/>
      <c r="C83" s="636">
        <f>'技能'!E22</f>
        <v>-5</v>
      </c>
      <c r="D83" s="638"/>
      <c r="E83" s="581" t="s">
        <v>1</v>
      </c>
      <c r="F83" s="582"/>
      <c r="G83" s="582"/>
      <c r="H83" s="582"/>
      <c r="I83" s="870"/>
      <c r="J83" s="694">
        <f>C83</f>
        <v>-5</v>
      </c>
      <c r="K83" s="668"/>
      <c r="L83" s="695"/>
      <c r="M83" s="588"/>
      <c r="N83" s="638"/>
      <c r="O83" s="565"/>
      <c r="P83" s="565"/>
      <c r="Q83" s="565"/>
      <c r="R83" s="565"/>
      <c r="S83" s="570"/>
      <c r="T83" s="570"/>
      <c r="U83" s="570"/>
      <c r="V83" s="570"/>
      <c r="W83" s="565"/>
      <c r="X83" s="565"/>
      <c r="Y83" s="570"/>
      <c r="Z83" s="570"/>
      <c r="AA83" s="565"/>
      <c r="AB83" s="565"/>
      <c r="AC83" s="565"/>
      <c r="AD83" s="565"/>
      <c r="AE83" s="8"/>
      <c r="AF83" s="8"/>
      <c r="AG83" s="620" t="s">
        <v>511</v>
      </c>
      <c r="AH83" s="621"/>
      <c r="AI83" s="622"/>
      <c r="AJ83" s="595">
        <v>0</v>
      </c>
      <c r="AK83" s="595"/>
      <c r="AL83" s="595">
        <v>-3</v>
      </c>
      <c r="AM83" s="595"/>
      <c r="AN83" s="595">
        <v>-6</v>
      </c>
      <c r="AO83" s="595"/>
      <c r="AP83" s="8"/>
      <c r="AQ83" s="645"/>
      <c r="AR83" s="646"/>
      <c r="AS83" s="646"/>
      <c r="AT83" s="646"/>
      <c r="AU83" s="647"/>
      <c r="AV83" s="8"/>
      <c r="AW83" s="657"/>
      <c r="AX83" s="658"/>
      <c r="AY83" s="659"/>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row>
    <row r="84" spans="1:81" ht="15" customHeight="1">
      <c r="A84" s="8"/>
      <c r="B84" s="8"/>
      <c r="C84" s="814"/>
      <c r="D84" s="815"/>
      <c r="E84" s="581" t="s">
        <v>824</v>
      </c>
      <c r="F84" s="582"/>
      <c r="G84" s="582"/>
      <c r="H84" s="582"/>
      <c r="I84" s="870"/>
      <c r="J84" s="694">
        <f>SUM(M84:AD84)</f>
        <v>18</v>
      </c>
      <c r="K84" s="668"/>
      <c r="L84" s="695"/>
      <c r="M84" s="588">
        <f>O32</f>
        <v>11</v>
      </c>
      <c r="N84" s="638"/>
      <c r="O84" s="885">
        <f>L18</f>
        <v>7</v>
      </c>
      <c r="P84" s="885"/>
      <c r="Q84" s="565"/>
      <c r="R84" s="565"/>
      <c r="S84" s="570"/>
      <c r="T84" s="570"/>
      <c r="U84" s="570"/>
      <c r="V84" s="570"/>
      <c r="W84" s="565">
        <f>W81</f>
        <v>0</v>
      </c>
      <c r="X84" s="565"/>
      <c r="Y84" s="611"/>
      <c r="Z84" s="612"/>
      <c r="AA84" s="759"/>
      <c r="AB84" s="759"/>
      <c r="AC84" s="565"/>
      <c r="AD84" s="565"/>
      <c r="AE84" s="8"/>
      <c r="AF84" s="8"/>
      <c r="AG84" s="576" t="s">
        <v>512</v>
      </c>
      <c r="AH84" s="576"/>
      <c r="AI84" s="576"/>
      <c r="AJ84" s="648">
        <f>(IF($I$18&lt;30,INT(INDEX($BX$5:$BX$33,$I$18)/3),INT(INDEX($BX$24:$BX$33,($I$18-10*INT(($I$18-20)/10))-19)/3)*4^INT(($I$18-20)/10))*INDEX($BZ$5:$BZ$22,$AE$12))</f>
        <v>233</v>
      </c>
      <c r="AK84" s="648"/>
      <c r="AL84" s="648">
        <f>(IF($I$18&lt;30,INT(INDEX($BX$5:$BX$33,$I$18)*2/3),INT(INDEX($BX$24:$BX$33,($I$18-10*INT(($I$18-20)/10))-19)*2/3)*4^INT(($I$18-20)/10))*INDEX($BZ$5:$BZ$22,$AE$12))</f>
        <v>466</v>
      </c>
      <c r="AM84" s="648"/>
      <c r="AN84" s="648">
        <f>IF($I$18&lt;30,INDEX($BX$5:$BX$33,$I$18),INDEX($BX$24:$BX$33,($I$18-10*INT(($I$18-20)/10))-19)*4^INT(($I$18-20)/10))*INDEX($BZ$5:$BZ$22,$AE$12)</f>
        <v>700</v>
      </c>
      <c r="AO84" s="648"/>
      <c r="AP84" s="8"/>
      <c r="AQ84" s="636">
        <f>IF('装備'!H6&gt;'能力'!AN84,"行動不可",MIN(SUM('装備'!R12:R16),IF('装備'!H6&gt;'能力'!AL84,-6,IF('装備'!H6&gt;'能力'!AJ84,-3,0))))</f>
        <v>-5</v>
      </c>
      <c r="AR84" s="637"/>
      <c r="AS84" s="637"/>
      <c r="AT84" s="637"/>
      <c r="AU84" s="638"/>
      <c r="AV84" s="8"/>
      <c r="AW84" s="654">
        <f>SUM('装備'!S12:S16)</f>
        <v>0</v>
      </c>
      <c r="AX84" s="655"/>
      <c r="AY84" s="656"/>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row>
    <row r="85" spans="1:81" ht="15" customHeight="1">
      <c r="A85" s="8"/>
      <c r="B85" s="8"/>
      <c r="C85" s="814"/>
      <c r="D85" s="815"/>
      <c r="E85" s="581" t="s">
        <v>2</v>
      </c>
      <c r="F85" s="582"/>
      <c r="G85" s="582"/>
      <c r="H85" s="582"/>
      <c r="I85" s="870"/>
      <c r="J85" s="694">
        <f>SUM(M85:AD85)</f>
        <v>18</v>
      </c>
      <c r="K85" s="668"/>
      <c r="L85" s="695"/>
      <c r="M85" s="588">
        <f>O32</f>
        <v>11</v>
      </c>
      <c r="N85" s="638"/>
      <c r="O85" s="885">
        <f>L18</f>
        <v>7</v>
      </c>
      <c r="P85" s="885"/>
      <c r="Q85" s="565"/>
      <c r="R85" s="565"/>
      <c r="S85" s="570"/>
      <c r="T85" s="570"/>
      <c r="U85" s="570"/>
      <c r="V85" s="570"/>
      <c r="W85" s="565">
        <f>W81</f>
        <v>0</v>
      </c>
      <c r="X85" s="565"/>
      <c r="Y85" s="570"/>
      <c r="Z85" s="570"/>
      <c r="AA85" s="565"/>
      <c r="AB85" s="565"/>
      <c r="AC85" s="565"/>
      <c r="AD85" s="565"/>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row>
    <row r="86" spans="1:81" ht="15" customHeight="1">
      <c r="A86" s="8"/>
      <c r="B86" s="1"/>
      <c r="C86" s="814"/>
      <c r="D86" s="815"/>
      <c r="E86" s="581" t="s">
        <v>828</v>
      </c>
      <c r="F86" s="582"/>
      <c r="G86" s="582"/>
      <c r="H86" s="582"/>
      <c r="I86" s="870"/>
      <c r="J86" s="694">
        <f>SUM(M86:AD86)</f>
        <v>18</v>
      </c>
      <c r="K86" s="668"/>
      <c r="L86" s="695"/>
      <c r="M86" s="588">
        <f>O32</f>
        <v>11</v>
      </c>
      <c r="N86" s="638"/>
      <c r="O86" s="885">
        <f>L18</f>
        <v>7</v>
      </c>
      <c r="P86" s="885"/>
      <c r="Q86" s="565"/>
      <c r="R86" s="565"/>
      <c r="S86" s="570"/>
      <c r="T86" s="570"/>
      <c r="U86" s="570"/>
      <c r="V86" s="570"/>
      <c r="W86" s="565">
        <f>W81</f>
        <v>0</v>
      </c>
      <c r="X86" s="565"/>
      <c r="Y86" s="570"/>
      <c r="Z86" s="570"/>
      <c r="AA86" s="759"/>
      <c r="AB86" s="759"/>
      <c r="AC86" s="570"/>
      <c r="AD86" s="570"/>
      <c r="AE86" s="8"/>
      <c r="AF86" s="8"/>
      <c r="AG86" s="8"/>
      <c r="AH86" s="620" t="s">
        <v>513</v>
      </c>
      <c r="AI86" s="621"/>
      <c r="AJ86" s="621"/>
      <c r="AK86" s="621"/>
      <c r="AL86" s="621"/>
      <c r="AM86" s="621"/>
      <c r="AN86" s="639"/>
      <c r="AO86" s="640"/>
      <c r="AP86" s="640"/>
      <c r="AQ86" s="640"/>
      <c r="AR86" s="640"/>
      <c r="AS86" s="640"/>
      <c r="AT86" s="640"/>
      <c r="AU86" s="641"/>
      <c r="AV86" s="8"/>
      <c r="AW86" s="8"/>
      <c r="AX86" s="865" t="s">
        <v>364</v>
      </c>
      <c r="AY86" s="871"/>
      <c r="AZ86" s="866"/>
      <c r="BA86" s="20"/>
      <c r="BB86" s="21"/>
      <c r="BC86" s="21"/>
      <c r="BD86" s="21"/>
      <c r="BE86" s="21"/>
      <c r="BF86" s="22"/>
      <c r="BG86" s="22"/>
      <c r="BH86" s="8"/>
      <c r="BI86" s="8"/>
      <c r="BJ86" s="8"/>
      <c r="BK86" s="8"/>
      <c r="BL86" s="8"/>
      <c r="BM86" s="8"/>
      <c r="BN86" s="8"/>
      <c r="BO86" s="8"/>
      <c r="BP86" s="8"/>
      <c r="BQ86" s="8"/>
      <c r="BR86" s="8"/>
      <c r="BS86" s="8"/>
      <c r="BT86" s="8"/>
      <c r="BU86" s="8"/>
      <c r="BV86" s="8"/>
      <c r="BW86" s="8"/>
      <c r="BX86" s="8"/>
      <c r="BY86" s="8"/>
      <c r="BZ86" s="8"/>
      <c r="CA86" s="8"/>
      <c r="CB86" s="8"/>
      <c r="CC86" s="8"/>
    </row>
    <row r="87" spans="1:81" ht="15" customHeight="1">
      <c r="A87" s="8"/>
      <c r="B87" s="8"/>
      <c r="C87" s="636">
        <f>'技能'!E14</f>
        <v>0</v>
      </c>
      <c r="D87" s="638"/>
      <c r="E87" s="581" t="s">
        <v>825</v>
      </c>
      <c r="F87" s="582"/>
      <c r="G87" s="582"/>
      <c r="H87" s="582"/>
      <c r="I87" s="870"/>
      <c r="J87" s="694">
        <f>C87</f>
        <v>0</v>
      </c>
      <c r="K87" s="668"/>
      <c r="L87" s="695"/>
      <c r="M87" s="588"/>
      <c r="N87" s="638"/>
      <c r="O87" s="565"/>
      <c r="P87" s="565"/>
      <c r="Q87" s="565"/>
      <c r="R87" s="565"/>
      <c r="S87" s="570"/>
      <c r="T87" s="570"/>
      <c r="U87" s="570"/>
      <c r="V87" s="570"/>
      <c r="W87" s="565"/>
      <c r="X87" s="565"/>
      <c r="Y87" s="570"/>
      <c r="Z87" s="570"/>
      <c r="AA87" s="565"/>
      <c r="AB87" s="565"/>
      <c r="AC87" s="565"/>
      <c r="AD87" s="565"/>
      <c r="AE87" s="8"/>
      <c r="AF87" s="8"/>
      <c r="AG87" s="8"/>
      <c r="AH87" s="8"/>
      <c r="AI87" s="8"/>
      <c r="AJ87" s="8"/>
      <c r="AK87" s="8"/>
      <c r="AL87" s="8"/>
      <c r="AM87" s="8"/>
      <c r="AN87" s="8"/>
      <c r="AO87" s="8"/>
      <c r="AP87" s="8"/>
      <c r="AQ87" s="8"/>
      <c r="AR87" s="8"/>
      <c r="AS87" s="8"/>
      <c r="AT87" s="8"/>
      <c r="AU87" s="8"/>
      <c r="AV87" s="8"/>
      <c r="AW87" s="8"/>
      <c r="AX87" s="908"/>
      <c r="AY87" s="630"/>
      <c r="AZ87" s="909"/>
      <c r="BA87" s="894" t="s">
        <v>6</v>
      </c>
      <c r="BB87" s="894"/>
      <c r="BC87" s="894"/>
      <c r="BD87" s="894"/>
      <c r="BE87" s="895"/>
      <c r="BF87" s="612"/>
      <c r="BG87" s="570"/>
      <c r="BH87" s="8"/>
      <c r="BI87" s="8"/>
      <c r="BJ87" s="8"/>
      <c r="BK87" s="8"/>
      <c r="BL87" s="8"/>
      <c r="BM87" s="8"/>
      <c r="BN87" s="8"/>
      <c r="BO87" s="8"/>
      <c r="BP87" s="8"/>
      <c r="BQ87" s="8"/>
      <c r="BR87" s="8"/>
      <c r="BS87" s="8"/>
      <c r="BT87" s="8"/>
      <c r="BU87" s="8"/>
      <c r="BV87" s="8"/>
      <c r="BW87" s="8"/>
      <c r="BX87" s="8"/>
      <c r="BY87" s="8"/>
      <c r="BZ87" s="8"/>
      <c r="CA87" s="8"/>
      <c r="CB87" s="8"/>
      <c r="CC87" s="8"/>
    </row>
    <row r="88" spans="1:81" ht="15" customHeight="1">
      <c r="A88" s="8"/>
      <c r="B88" s="8"/>
      <c r="C88" s="814"/>
      <c r="D88" s="815"/>
      <c r="E88" s="581" t="s">
        <v>829</v>
      </c>
      <c r="F88" s="582"/>
      <c r="G88" s="582"/>
      <c r="H88" s="582"/>
      <c r="I88" s="870"/>
      <c r="J88" s="694">
        <f>SUM(M88:AD88)</f>
        <v>18</v>
      </c>
      <c r="K88" s="668"/>
      <c r="L88" s="695"/>
      <c r="M88" s="588">
        <f>O32</f>
        <v>11</v>
      </c>
      <c r="N88" s="638"/>
      <c r="O88" s="885">
        <f>L18</f>
        <v>7</v>
      </c>
      <c r="P88" s="885"/>
      <c r="Q88" s="565"/>
      <c r="R88" s="565"/>
      <c r="S88" s="570"/>
      <c r="T88" s="570"/>
      <c r="U88" s="570"/>
      <c r="V88" s="570"/>
      <c r="W88" s="565">
        <f>W85</f>
        <v>0</v>
      </c>
      <c r="X88" s="565"/>
      <c r="Y88" s="570"/>
      <c r="Z88" s="570"/>
      <c r="AA88" s="759"/>
      <c r="AB88" s="759"/>
      <c r="AC88" s="570"/>
      <c r="AD88" s="570"/>
      <c r="AE88" s="8"/>
      <c r="AF88" s="8"/>
      <c r="AG88" s="8"/>
      <c r="AH88" s="634" t="s">
        <v>7</v>
      </c>
      <c r="AI88" s="634"/>
      <c r="AJ88" s="634"/>
      <c r="AK88" s="634"/>
      <c r="AL88" s="634"/>
      <c r="AM88" s="634"/>
      <c r="AN88" s="633" t="s">
        <v>8</v>
      </c>
      <c r="AO88" s="633"/>
      <c r="AP88" s="635"/>
      <c r="AQ88" s="635"/>
      <c r="AR88" s="633" t="s">
        <v>9</v>
      </c>
      <c r="AS88" s="633"/>
      <c r="AT88" s="635"/>
      <c r="AU88" s="635"/>
      <c r="AV88" s="8"/>
      <c r="AW88" s="8"/>
      <c r="AX88" s="908"/>
      <c r="AY88" s="630"/>
      <c r="AZ88" s="909"/>
      <c r="BA88" s="896" t="s">
        <v>10</v>
      </c>
      <c r="BB88" s="896"/>
      <c r="BC88" s="896"/>
      <c r="BD88" s="896"/>
      <c r="BE88" s="897"/>
      <c r="BF88" s="852"/>
      <c r="BG88" s="813"/>
      <c r="BH88" s="8"/>
      <c r="BI88" s="8"/>
      <c r="BJ88" s="8"/>
      <c r="BK88" s="8"/>
      <c r="BL88" s="8"/>
      <c r="BM88" s="8"/>
      <c r="BN88" s="8"/>
      <c r="BO88" s="8"/>
      <c r="BP88" s="8"/>
      <c r="BQ88" s="8"/>
      <c r="BR88" s="8"/>
      <c r="BS88" s="8"/>
      <c r="BT88" s="8"/>
      <c r="BU88" s="8"/>
      <c r="BV88" s="8"/>
      <c r="BW88" s="8"/>
      <c r="BX88" s="8"/>
      <c r="BY88" s="8"/>
      <c r="BZ88" s="8"/>
      <c r="CA88" s="8"/>
      <c r="CB88" s="8"/>
      <c r="CC88" s="8"/>
    </row>
    <row r="89" spans="1:81" ht="15" customHeight="1">
      <c r="A89" s="8"/>
      <c r="B89" s="8"/>
      <c r="C89" s="814"/>
      <c r="D89" s="815"/>
      <c r="E89" s="581" t="s">
        <v>826</v>
      </c>
      <c r="F89" s="582"/>
      <c r="G89" s="582"/>
      <c r="H89" s="582"/>
      <c r="I89" s="870"/>
      <c r="J89" s="694">
        <f>SUM(M89:AD89)</f>
        <v>18</v>
      </c>
      <c r="K89" s="668"/>
      <c r="L89" s="695"/>
      <c r="M89" s="588">
        <f>O32</f>
        <v>11</v>
      </c>
      <c r="N89" s="638"/>
      <c r="O89" s="885">
        <f>L18</f>
        <v>7</v>
      </c>
      <c r="P89" s="885"/>
      <c r="Q89" s="565"/>
      <c r="R89" s="565"/>
      <c r="S89" s="570"/>
      <c r="T89" s="570"/>
      <c r="U89" s="570"/>
      <c r="V89" s="570"/>
      <c r="W89" s="565">
        <f>W86</f>
        <v>0</v>
      </c>
      <c r="X89" s="565"/>
      <c r="Y89" s="570"/>
      <c r="Z89" s="570"/>
      <c r="AA89" s="565"/>
      <c r="AB89" s="565"/>
      <c r="AC89" s="565"/>
      <c r="AD89" s="565"/>
      <c r="AE89" s="8"/>
      <c r="AF89" s="8"/>
      <c r="AG89" s="8"/>
      <c r="AH89" s="634"/>
      <c r="AI89" s="634"/>
      <c r="AJ89" s="634"/>
      <c r="AK89" s="634"/>
      <c r="AL89" s="634"/>
      <c r="AM89" s="634"/>
      <c r="AN89" s="633" t="s">
        <v>11</v>
      </c>
      <c r="AO89" s="633"/>
      <c r="AP89" s="635"/>
      <c r="AQ89" s="635"/>
      <c r="AR89" s="633" t="s">
        <v>12</v>
      </c>
      <c r="AS89" s="633"/>
      <c r="AT89" s="635"/>
      <c r="AU89" s="635"/>
      <c r="AV89" s="8"/>
      <c r="AW89" s="8"/>
      <c r="AX89" s="908"/>
      <c r="AY89" s="630"/>
      <c r="AZ89" s="909"/>
      <c r="BA89" s="898"/>
      <c r="BB89" s="898"/>
      <c r="BC89" s="898"/>
      <c r="BD89" s="898"/>
      <c r="BE89" s="899"/>
      <c r="BF89" s="900"/>
      <c r="BG89" s="901"/>
      <c r="BH89" s="8"/>
      <c r="BI89" s="8"/>
      <c r="BJ89" s="8"/>
      <c r="BK89" s="8"/>
      <c r="BL89" s="8"/>
      <c r="BM89" s="8"/>
      <c r="BN89" s="8"/>
      <c r="BO89" s="8"/>
      <c r="BP89" s="8"/>
      <c r="BQ89" s="8"/>
      <c r="BR89" s="8"/>
      <c r="BS89" s="8"/>
      <c r="BT89" s="8"/>
      <c r="BU89" s="8"/>
      <c r="BV89" s="8"/>
      <c r="BW89" s="8"/>
      <c r="BX89" s="8"/>
      <c r="BY89" s="8"/>
      <c r="BZ89" s="8"/>
      <c r="CA89" s="8"/>
      <c r="CB89" s="8"/>
      <c r="CC89" s="8"/>
    </row>
    <row r="90" spans="1:81" ht="15" customHeight="1">
      <c r="A90" s="8"/>
      <c r="B90" s="8"/>
      <c r="C90" s="814"/>
      <c r="D90" s="815"/>
      <c r="E90" s="581" t="s">
        <v>827</v>
      </c>
      <c r="F90" s="582"/>
      <c r="G90" s="582"/>
      <c r="H90" s="582"/>
      <c r="I90" s="870"/>
      <c r="J90" s="694">
        <f>SUM(M90:AD90)</f>
        <v>18</v>
      </c>
      <c r="K90" s="668"/>
      <c r="L90" s="695"/>
      <c r="M90" s="588">
        <f>O32</f>
        <v>11</v>
      </c>
      <c r="N90" s="638"/>
      <c r="O90" s="885">
        <f>L18</f>
        <v>7</v>
      </c>
      <c r="P90" s="885"/>
      <c r="Q90" s="565"/>
      <c r="R90" s="565"/>
      <c r="S90" s="570"/>
      <c r="T90" s="570"/>
      <c r="U90" s="570"/>
      <c r="V90" s="570"/>
      <c r="W90" s="565">
        <f>W87</f>
        <v>0</v>
      </c>
      <c r="X90" s="565"/>
      <c r="Y90" s="570">
        <f>BR12</f>
        <v>0</v>
      </c>
      <c r="Z90" s="570"/>
      <c r="AA90" s="759"/>
      <c r="AB90" s="759"/>
      <c r="AC90" s="570"/>
      <c r="AD90" s="570"/>
      <c r="AE90" s="8"/>
      <c r="AF90" s="8"/>
      <c r="AG90" s="8"/>
      <c r="AH90" s="634"/>
      <c r="AI90" s="634"/>
      <c r="AJ90" s="634"/>
      <c r="AK90" s="634"/>
      <c r="AL90" s="634"/>
      <c r="AM90" s="634"/>
      <c r="AN90" s="633" t="s">
        <v>13</v>
      </c>
      <c r="AO90" s="633"/>
      <c r="AP90" s="635"/>
      <c r="AQ90" s="635"/>
      <c r="AR90" s="28"/>
      <c r="AS90" s="28"/>
      <c r="AT90" s="28"/>
      <c r="AU90" s="28"/>
      <c r="AV90" s="8"/>
      <c r="AW90" s="8"/>
      <c r="AX90" s="908"/>
      <c r="AY90" s="630"/>
      <c r="AZ90" s="909"/>
      <c r="BA90" s="896" t="s">
        <v>14</v>
      </c>
      <c r="BB90" s="896"/>
      <c r="BC90" s="896"/>
      <c r="BD90" s="896"/>
      <c r="BE90" s="897"/>
      <c r="BF90" s="852"/>
      <c r="BG90" s="813"/>
      <c r="BH90" s="8"/>
      <c r="BI90" s="8"/>
      <c r="BJ90" s="8"/>
      <c r="BK90" s="8"/>
      <c r="BL90" s="8"/>
      <c r="BM90" s="8"/>
      <c r="BN90" s="8"/>
      <c r="BO90" s="8"/>
      <c r="BP90" s="8"/>
      <c r="BQ90" s="8"/>
      <c r="BR90" s="8"/>
      <c r="BS90" s="8"/>
      <c r="BT90" s="8"/>
      <c r="BU90" s="8"/>
      <c r="BV90" s="8"/>
      <c r="BW90" s="8"/>
      <c r="BX90" s="8"/>
      <c r="BY90" s="8"/>
      <c r="BZ90" s="8"/>
      <c r="CA90" s="8"/>
      <c r="CB90" s="8"/>
      <c r="CC90" s="8"/>
    </row>
    <row r="91" spans="1:81" ht="15" customHeight="1">
      <c r="A91" s="8"/>
      <c r="B91" s="8"/>
      <c r="C91" s="636">
        <f>'技能'!E46</f>
        <v>0</v>
      </c>
      <c r="D91" s="638"/>
      <c r="E91" s="581" t="s">
        <v>830</v>
      </c>
      <c r="F91" s="582"/>
      <c r="G91" s="582"/>
      <c r="H91" s="582"/>
      <c r="I91" s="870"/>
      <c r="J91" s="694">
        <f>IF(SUM(M91:AD91)&gt;C91,10+SUM(M91:AD91),10+C91)</f>
        <v>21</v>
      </c>
      <c r="K91" s="668"/>
      <c r="L91" s="695"/>
      <c r="M91" s="588">
        <f>O32</f>
        <v>11</v>
      </c>
      <c r="N91" s="638"/>
      <c r="O91" s="565">
        <v>0</v>
      </c>
      <c r="P91" s="565"/>
      <c r="Q91" s="892">
        <f>L22</f>
        <v>0</v>
      </c>
      <c r="R91" s="893"/>
      <c r="S91" s="570"/>
      <c r="T91" s="570"/>
      <c r="U91" s="570"/>
      <c r="V91" s="570"/>
      <c r="W91" s="565"/>
      <c r="X91" s="565"/>
      <c r="Y91" s="570"/>
      <c r="Z91" s="570"/>
      <c r="AA91" s="565"/>
      <c r="AB91" s="565"/>
      <c r="AC91" s="565"/>
      <c r="AD91" s="565"/>
      <c r="AE91" s="8"/>
      <c r="AF91" s="8"/>
      <c r="AG91" s="8"/>
      <c r="AH91" s="8"/>
      <c r="AI91" s="8"/>
      <c r="AJ91" s="8"/>
      <c r="AK91" s="8"/>
      <c r="AL91" s="8"/>
      <c r="AM91" s="8"/>
      <c r="AN91" s="8"/>
      <c r="AO91" s="8"/>
      <c r="AP91" s="8"/>
      <c r="AQ91" s="8"/>
      <c r="AR91" s="8"/>
      <c r="AS91" s="8"/>
      <c r="AT91" s="8"/>
      <c r="AU91" s="8"/>
      <c r="AV91" s="8"/>
      <c r="AW91" s="8"/>
      <c r="AX91" s="908"/>
      <c r="AY91" s="630"/>
      <c r="AZ91" s="909"/>
      <c r="BA91" s="898"/>
      <c r="BB91" s="898"/>
      <c r="BC91" s="898"/>
      <c r="BD91" s="898"/>
      <c r="BE91" s="899"/>
      <c r="BF91" s="900"/>
      <c r="BG91" s="901"/>
      <c r="BH91" s="8"/>
      <c r="BI91" s="8"/>
      <c r="BJ91" s="8"/>
      <c r="BK91" s="8"/>
      <c r="BL91" s="8"/>
      <c r="BM91" s="8"/>
      <c r="BN91" s="8"/>
      <c r="BO91" s="8"/>
      <c r="BP91" s="8"/>
      <c r="BQ91" s="8"/>
      <c r="BR91" s="8"/>
      <c r="BS91" s="8"/>
      <c r="BT91" s="8"/>
      <c r="BU91" s="8"/>
      <c r="BV91" s="8"/>
      <c r="BW91" s="8"/>
      <c r="BX91" s="8"/>
      <c r="BY91" s="8"/>
      <c r="BZ91" s="8"/>
      <c r="CA91" s="8"/>
      <c r="CB91" s="8"/>
      <c r="CC91" s="8"/>
    </row>
    <row r="92" spans="1:81" ht="15" customHeight="1">
      <c r="A92" s="8"/>
      <c r="B92" s="8"/>
      <c r="C92" s="636"/>
      <c r="D92" s="638"/>
      <c r="E92" s="581"/>
      <c r="F92" s="582"/>
      <c r="G92" s="582"/>
      <c r="H92" s="582"/>
      <c r="I92" s="870"/>
      <c r="J92" s="694"/>
      <c r="K92" s="668"/>
      <c r="L92" s="695"/>
      <c r="M92" s="588"/>
      <c r="N92" s="638"/>
      <c r="O92" s="565"/>
      <c r="P92" s="565"/>
      <c r="Q92" s="565"/>
      <c r="R92" s="565"/>
      <c r="S92" s="570"/>
      <c r="T92" s="570"/>
      <c r="U92" s="570"/>
      <c r="V92" s="570"/>
      <c r="W92" s="565"/>
      <c r="X92" s="565"/>
      <c r="Y92" s="570"/>
      <c r="Z92" s="570"/>
      <c r="AA92" s="565"/>
      <c r="AB92" s="565"/>
      <c r="AC92" s="570"/>
      <c r="AD92" s="570"/>
      <c r="AE92" s="8"/>
      <c r="AF92" s="8"/>
      <c r="AG92" s="8"/>
      <c r="AH92" s="620" t="s">
        <v>15</v>
      </c>
      <c r="AI92" s="621"/>
      <c r="AJ92" s="621"/>
      <c r="AK92" s="621"/>
      <c r="AL92" s="621"/>
      <c r="AM92" s="621"/>
      <c r="AN92" s="622"/>
      <c r="AO92" s="631"/>
      <c r="AP92" s="632"/>
      <c r="AQ92" s="904"/>
      <c r="AR92" s="905"/>
      <c r="AS92" s="8"/>
      <c r="AT92" s="8"/>
      <c r="AU92" s="8"/>
      <c r="AV92" s="8"/>
      <c r="AW92" s="8"/>
      <c r="AX92" s="908"/>
      <c r="AY92" s="630"/>
      <c r="AZ92" s="909"/>
      <c r="BA92" s="906" t="s">
        <v>16</v>
      </c>
      <c r="BB92" s="906"/>
      <c r="BC92" s="906"/>
      <c r="BD92" s="906"/>
      <c r="BE92" s="907"/>
      <c r="BF92" s="852"/>
      <c r="BG92" s="813"/>
      <c r="BH92" s="8"/>
      <c r="BI92" s="8"/>
      <c r="BJ92" s="8"/>
      <c r="BK92" s="8"/>
      <c r="BL92" s="8"/>
      <c r="BM92" s="8"/>
      <c r="BN92" s="8"/>
      <c r="BO92" s="8"/>
      <c r="BP92" s="8"/>
      <c r="BQ92" s="8"/>
      <c r="BR92" s="8"/>
      <c r="BS92" s="8"/>
      <c r="BT92" s="8"/>
      <c r="BU92" s="8"/>
      <c r="BV92" s="8"/>
      <c r="BW92" s="8"/>
      <c r="BX92" s="8"/>
      <c r="BY92" s="8"/>
      <c r="BZ92" s="8"/>
      <c r="CA92" s="8"/>
      <c r="CB92" s="8"/>
      <c r="CC92" s="8"/>
    </row>
    <row r="93" spans="1:81" ht="15" customHeight="1" thickBot="1">
      <c r="A93" s="8"/>
      <c r="B93" s="8"/>
      <c r="C93" s="853"/>
      <c r="D93" s="781"/>
      <c r="E93" s="581"/>
      <c r="F93" s="582"/>
      <c r="G93" s="582"/>
      <c r="H93" s="582"/>
      <c r="I93" s="870"/>
      <c r="J93" s="795"/>
      <c r="K93" s="796"/>
      <c r="L93" s="797"/>
      <c r="M93" s="637"/>
      <c r="N93" s="638"/>
      <c r="O93" s="565"/>
      <c r="P93" s="565"/>
      <c r="Q93" s="565"/>
      <c r="R93" s="565"/>
      <c r="S93" s="570"/>
      <c r="T93" s="570"/>
      <c r="U93" s="570"/>
      <c r="V93" s="570"/>
      <c r="W93" s="565"/>
      <c r="X93" s="565"/>
      <c r="Y93" s="570"/>
      <c r="Z93" s="570"/>
      <c r="AA93" s="565"/>
      <c r="AB93" s="565"/>
      <c r="AC93" s="565"/>
      <c r="AD93" s="565"/>
      <c r="AE93" s="8"/>
      <c r="AF93" s="8"/>
      <c r="AG93" s="8"/>
      <c r="AH93" s="800" t="s">
        <v>17</v>
      </c>
      <c r="AI93" s="801"/>
      <c r="AJ93" s="801"/>
      <c r="AK93" s="802"/>
      <c r="AL93" s="902"/>
      <c r="AM93" s="902"/>
      <c r="AN93" s="902"/>
      <c r="AO93" s="902"/>
      <c r="AP93" s="903"/>
      <c r="AQ93" s="8"/>
      <c r="AR93" s="8"/>
      <c r="AS93" s="8"/>
      <c r="AT93" s="8"/>
      <c r="AU93" s="8"/>
      <c r="AV93" s="8"/>
      <c r="AW93" s="8"/>
      <c r="AX93" s="908"/>
      <c r="AY93" s="630"/>
      <c r="AZ93" s="909"/>
      <c r="BA93" s="898"/>
      <c r="BB93" s="898"/>
      <c r="BC93" s="898"/>
      <c r="BD93" s="898"/>
      <c r="BE93" s="899"/>
      <c r="BF93" s="900"/>
      <c r="BG93" s="901"/>
      <c r="BH93" s="8"/>
      <c r="BI93" s="8"/>
      <c r="BJ93" s="8"/>
      <c r="BK93" s="8"/>
      <c r="BL93" s="8"/>
      <c r="BM93" s="8"/>
      <c r="BN93" s="8"/>
      <c r="BO93" s="8"/>
      <c r="BP93" s="8"/>
      <c r="BQ93" s="8"/>
      <c r="BR93" s="8"/>
      <c r="BS93" s="8"/>
      <c r="BT93" s="8"/>
      <c r="BU93" s="8"/>
      <c r="BV93" s="8"/>
      <c r="BW93" s="8"/>
      <c r="BX93" s="8"/>
      <c r="BY93" s="8"/>
      <c r="BZ93" s="8"/>
      <c r="CA93" s="8"/>
      <c r="CB93" s="8"/>
      <c r="CC93" s="8"/>
    </row>
    <row r="94" spans="1:81" ht="15" customHeight="1">
      <c r="A94" s="8"/>
      <c r="B94" s="8"/>
      <c r="C94" s="19"/>
      <c r="D94" s="19"/>
      <c r="E94" s="23"/>
      <c r="F94" s="23"/>
      <c r="G94" s="23"/>
      <c r="H94" s="23"/>
      <c r="I94" s="23"/>
      <c r="J94" s="24"/>
      <c r="K94" s="24"/>
      <c r="L94" s="24"/>
      <c r="M94" s="19"/>
      <c r="N94" s="19"/>
      <c r="O94" s="19"/>
      <c r="P94" s="19"/>
      <c r="Q94" s="19"/>
      <c r="R94" s="19"/>
      <c r="S94" s="19"/>
      <c r="T94" s="19"/>
      <c r="U94" s="19"/>
      <c r="V94" s="19"/>
      <c r="W94" s="19"/>
      <c r="X94" s="19"/>
      <c r="Y94" s="19"/>
      <c r="Z94" s="19"/>
      <c r="AA94" s="19"/>
      <c r="AB94" s="19"/>
      <c r="AC94" s="19"/>
      <c r="AD94" s="19"/>
      <c r="AE94" s="8"/>
      <c r="AF94" s="8"/>
      <c r="AG94" s="8"/>
      <c r="AH94" s="8"/>
      <c r="AI94" s="8"/>
      <c r="AJ94" s="8"/>
      <c r="AK94" s="8"/>
      <c r="AL94" s="8"/>
      <c r="AM94" s="8"/>
      <c r="AN94" s="8"/>
      <c r="AO94" s="8"/>
      <c r="AP94" s="8"/>
      <c r="AQ94" s="8"/>
      <c r="AR94" s="8"/>
      <c r="AS94" s="8"/>
      <c r="AT94" s="8"/>
      <c r="AU94" s="8"/>
      <c r="AV94" s="8"/>
      <c r="AW94" s="8"/>
      <c r="AX94" s="910"/>
      <c r="AY94" s="911"/>
      <c r="AZ94" s="912"/>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row>
    <row r="95" spans="1:81" ht="4.5" customHeight="1">
      <c r="A95" s="8"/>
      <c r="B95" s="8"/>
      <c r="C95" s="19"/>
      <c r="D95" s="19"/>
      <c r="E95" s="23"/>
      <c r="F95" s="23"/>
      <c r="G95" s="23"/>
      <c r="H95" s="23"/>
      <c r="I95" s="23"/>
      <c r="J95" s="24"/>
      <c r="K95" s="24"/>
      <c r="L95" s="24"/>
      <c r="M95" s="19"/>
      <c r="N95" s="19"/>
      <c r="O95" s="19"/>
      <c r="P95" s="19"/>
      <c r="Q95" s="19"/>
      <c r="R95" s="19"/>
      <c r="S95" s="19"/>
      <c r="T95" s="19"/>
      <c r="U95" s="19"/>
      <c r="V95" s="19"/>
      <c r="W95" s="19"/>
      <c r="X95" s="19"/>
      <c r="Y95" s="19"/>
      <c r="Z95" s="19"/>
      <c r="AA95" s="19"/>
      <c r="AB95" s="19"/>
      <c r="AC95" s="19"/>
      <c r="AD95" s="19"/>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row>
    <row r="96" spans="1:81" ht="15" customHeight="1">
      <c r="A96" s="8"/>
      <c r="B96" s="8"/>
      <c r="C96" s="595" t="s">
        <v>18</v>
      </c>
      <c r="D96" s="595"/>
      <c r="E96" s="595"/>
      <c r="F96" s="595"/>
      <c r="G96" s="571" t="s">
        <v>19</v>
      </c>
      <c r="H96" s="571"/>
      <c r="I96" s="571"/>
      <c r="J96" s="571"/>
      <c r="K96" s="571"/>
      <c r="L96" s="571"/>
      <c r="M96" s="571"/>
      <c r="N96" s="571"/>
      <c r="O96" s="921" t="s">
        <v>20</v>
      </c>
      <c r="P96" s="921"/>
      <c r="Q96" s="921"/>
      <c r="R96" s="917" t="s">
        <v>21</v>
      </c>
      <c r="S96" s="917"/>
      <c r="T96" s="923" t="s">
        <v>22</v>
      </c>
      <c r="U96" s="923"/>
      <c r="V96" s="918" t="s">
        <v>23</v>
      </c>
      <c r="W96" s="918"/>
      <c r="X96" s="924" t="s">
        <v>24</v>
      </c>
      <c r="Y96" s="924"/>
      <c r="Z96" s="925" t="s">
        <v>25</v>
      </c>
      <c r="AA96" s="926"/>
      <c r="AB96" s="927" t="s">
        <v>26</v>
      </c>
      <c r="AC96" s="926"/>
      <c r="AD96" s="919" t="s">
        <v>27</v>
      </c>
      <c r="AE96" s="920"/>
      <c r="AF96" s="919" t="s">
        <v>30</v>
      </c>
      <c r="AG96" s="920"/>
      <c r="AH96" s="930" t="s">
        <v>31</v>
      </c>
      <c r="AI96" s="930"/>
      <c r="AJ96" s="919" t="s">
        <v>32</v>
      </c>
      <c r="AK96" s="919"/>
      <c r="AL96" s="634" t="s">
        <v>33</v>
      </c>
      <c r="AM96" s="634"/>
      <c r="AN96" s="634"/>
      <c r="AO96" s="933" t="s">
        <v>34</v>
      </c>
      <c r="AP96" s="933"/>
      <c r="AQ96" s="917" t="s">
        <v>35</v>
      </c>
      <c r="AR96" s="917"/>
      <c r="AS96" s="917"/>
      <c r="AT96" s="571" t="s">
        <v>36</v>
      </c>
      <c r="AU96" s="571"/>
      <c r="AV96" s="571"/>
      <c r="AW96" s="571"/>
      <c r="AX96" s="934" t="s">
        <v>321</v>
      </c>
      <c r="AY96" s="934"/>
      <c r="AZ96" s="934"/>
      <c r="BA96" s="933" t="s">
        <v>52</v>
      </c>
      <c r="BB96" s="933"/>
      <c r="BC96" s="933" t="s">
        <v>53</v>
      </c>
      <c r="BD96" s="933"/>
      <c r="BE96" s="595" t="s">
        <v>54</v>
      </c>
      <c r="BF96" s="595"/>
      <c r="BG96" s="919" t="s">
        <v>55</v>
      </c>
      <c r="BH96" s="634"/>
      <c r="BI96" s="634"/>
      <c r="BJ96" s="634"/>
      <c r="BK96" s="634"/>
      <c r="BL96" s="940" t="s">
        <v>56</v>
      </c>
      <c r="BM96" s="941"/>
      <c r="BN96" s="8"/>
      <c r="BO96" s="8"/>
      <c r="BP96" s="8"/>
      <c r="BQ96" s="8"/>
      <c r="BR96" s="8"/>
      <c r="BS96" s="8"/>
      <c r="BT96" s="8"/>
      <c r="BU96" s="8"/>
      <c r="BV96" s="8"/>
      <c r="BW96" s="8"/>
      <c r="BX96" s="8"/>
      <c r="BY96" s="8"/>
      <c r="BZ96" s="8"/>
      <c r="CA96" s="8"/>
      <c r="CB96" s="8"/>
      <c r="CC96" s="8"/>
    </row>
    <row r="97" spans="1:81" ht="15" customHeight="1">
      <c r="A97" s="8"/>
      <c r="B97" s="8"/>
      <c r="C97" s="595"/>
      <c r="D97" s="595"/>
      <c r="E97" s="595"/>
      <c r="F97" s="595"/>
      <c r="G97" s="571"/>
      <c r="H97" s="571"/>
      <c r="I97" s="571"/>
      <c r="J97" s="571"/>
      <c r="K97" s="571"/>
      <c r="L97" s="571"/>
      <c r="M97" s="571"/>
      <c r="N97" s="571"/>
      <c r="O97" s="921"/>
      <c r="P97" s="921"/>
      <c r="Q97" s="921"/>
      <c r="R97" s="917"/>
      <c r="S97" s="917"/>
      <c r="T97" s="923"/>
      <c r="U97" s="923"/>
      <c r="V97" s="918"/>
      <c r="W97" s="918"/>
      <c r="X97" s="924"/>
      <c r="Y97" s="924"/>
      <c r="Z97" s="926"/>
      <c r="AA97" s="926"/>
      <c r="AB97" s="926"/>
      <c r="AC97" s="926"/>
      <c r="AD97" s="920"/>
      <c r="AE97" s="920"/>
      <c r="AF97" s="920"/>
      <c r="AG97" s="920"/>
      <c r="AH97" s="930"/>
      <c r="AI97" s="930"/>
      <c r="AJ97" s="919"/>
      <c r="AK97" s="919"/>
      <c r="AL97" s="634"/>
      <c r="AM97" s="634"/>
      <c r="AN97" s="634"/>
      <c r="AO97" s="933"/>
      <c r="AP97" s="933"/>
      <c r="AQ97" s="917"/>
      <c r="AR97" s="917"/>
      <c r="AS97" s="917"/>
      <c r="AT97" s="571"/>
      <c r="AU97" s="571"/>
      <c r="AV97" s="571"/>
      <c r="AW97" s="571"/>
      <c r="AX97" s="934"/>
      <c r="AY97" s="934"/>
      <c r="AZ97" s="934"/>
      <c r="BA97" s="933"/>
      <c r="BB97" s="933"/>
      <c r="BC97" s="933"/>
      <c r="BD97" s="933"/>
      <c r="BE97" s="595"/>
      <c r="BF97" s="595"/>
      <c r="BG97" s="634"/>
      <c r="BH97" s="634"/>
      <c r="BI97" s="634"/>
      <c r="BJ97" s="634"/>
      <c r="BK97" s="634"/>
      <c r="BL97" s="940"/>
      <c r="BM97" s="941"/>
      <c r="BN97" s="8"/>
      <c r="BO97" s="8"/>
      <c r="BP97" s="8"/>
      <c r="BQ97" s="8"/>
      <c r="BR97" s="8"/>
      <c r="BS97" s="8"/>
      <c r="BT97" s="8"/>
      <c r="BU97" s="8"/>
      <c r="BV97" s="8"/>
      <c r="BW97" s="8"/>
      <c r="BX97" s="8"/>
      <c r="BY97" s="8"/>
      <c r="BZ97" s="8"/>
      <c r="CA97" s="8"/>
      <c r="CB97" s="8"/>
      <c r="CC97" s="8"/>
    </row>
    <row r="98" spans="1:81" ht="15" customHeight="1">
      <c r="A98" s="8"/>
      <c r="B98" s="8"/>
      <c r="C98" s="571" t="s">
        <v>637</v>
      </c>
      <c r="D98" s="571"/>
      <c r="E98" s="571"/>
      <c r="F98" s="571"/>
      <c r="G98" s="915" t="str">
        <f>IF('装備'!C19="","",'装備'!C19)</f>
        <v>Adamantine Halbard +2</v>
      </c>
      <c r="H98" s="915"/>
      <c r="I98" s="915"/>
      <c r="J98" s="915"/>
      <c r="K98" s="915"/>
      <c r="L98" s="915"/>
      <c r="M98" s="915"/>
      <c r="N98" s="915"/>
      <c r="O98" s="916">
        <f aca="true" t="shared" si="6" ref="O98:O106">SUM(R98:AH98)</f>
        <v>21</v>
      </c>
      <c r="P98" s="916"/>
      <c r="Q98" s="916"/>
      <c r="R98" s="565">
        <f>O32</f>
        <v>11</v>
      </c>
      <c r="S98" s="565"/>
      <c r="T98" s="885">
        <f aca="true" t="shared" si="7" ref="T98:T103">IF(BS38=FALSE,$L$18,"")</f>
        <v>7</v>
      </c>
      <c r="U98" s="885"/>
      <c r="V98" s="565">
        <f aca="true" t="shared" si="8" ref="V98:V103">IF(BS38=TRUE,$L$19,"")</f>
      </c>
      <c r="W98" s="565"/>
      <c r="X98" s="570">
        <v>1</v>
      </c>
      <c r="Y98" s="570"/>
      <c r="Z98" s="570">
        <v>2</v>
      </c>
      <c r="AA98" s="570"/>
      <c r="AB98" s="565">
        <f>BR7</f>
        <v>0</v>
      </c>
      <c r="AC98" s="565"/>
      <c r="AD98" s="570"/>
      <c r="AE98" s="570"/>
      <c r="AF98" s="570"/>
      <c r="AG98" s="570"/>
      <c r="AH98" s="570"/>
      <c r="AI98" s="570"/>
      <c r="AJ98" s="928" t="str">
        <f>IF('装備'!R19=0,"",'装備'!R19)</f>
        <v>5ft.</v>
      </c>
      <c r="AK98" s="928"/>
      <c r="AL98" s="565" t="str">
        <f>IF('装備'!O19=0,"",'装備'!O19)</f>
        <v>1d10</v>
      </c>
      <c r="AM98" s="565"/>
      <c r="AN98" s="565"/>
      <c r="AO98" s="932" t="s">
        <v>937</v>
      </c>
      <c r="AP98" s="932"/>
      <c r="AQ98" s="565">
        <f>IF('装備'!U19=0,"",'装備'!U19)</f>
      </c>
      <c r="AR98" s="565"/>
      <c r="AS98" s="565"/>
      <c r="AT98" s="565">
        <f>'装備'!T19</f>
        <v>5</v>
      </c>
      <c r="AU98" s="565"/>
      <c r="AV98" s="565"/>
      <c r="AW98" s="565"/>
      <c r="AX98" s="565">
        <f>'装備'!S19</f>
        <v>7</v>
      </c>
      <c r="AY98" s="565"/>
      <c r="AZ98" s="565"/>
      <c r="BA98" s="565" t="str">
        <f>'装備'!P19</f>
        <v>x3</v>
      </c>
      <c r="BB98" s="565"/>
      <c r="BC98" s="565" t="str">
        <f>'装備'!Q19</f>
        <v>19-20</v>
      </c>
      <c r="BD98" s="565"/>
      <c r="BE98" s="565">
        <f>IF('装備'!E19=0,"",'装備'!E19)</f>
      </c>
      <c r="BF98" s="565"/>
      <c r="BG98" s="937">
        <f>IF('装備'!V19=0,"",'装備'!V19)</f>
      </c>
      <c r="BH98" s="937"/>
      <c r="BI98" s="937"/>
      <c r="BJ98" s="937"/>
      <c r="BK98" s="937"/>
      <c r="BL98" s="935">
        <f aca="true" t="shared" si="9" ref="BL98:BL103">IF(BS38=TRUE,"《武器の妙技》 ","")</f>
      </c>
      <c r="BM98" s="936"/>
      <c r="BN98" s="8"/>
      <c r="BO98" s="8"/>
      <c r="BP98" s="8"/>
      <c r="BQ98" s="8"/>
      <c r="BR98" s="8"/>
      <c r="BS98" s="8"/>
      <c r="BT98" s="8"/>
      <c r="BU98" s="8"/>
      <c r="BV98" s="8"/>
      <c r="BW98" s="8"/>
      <c r="BX98" s="8"/>
      <c r="BY98" s="8"/>
      <c r="BZ98" s="8"/>
      <c r="CA98" s="8"/>
      <c r="CB98" s="8"/>
      <c r="CC98" s="8"/>
    </row>
    <row r="99" spans="1:81" ht="15" customHeight="1">
      <c r="A99" s="8"/>
      <c r="B99" s="8"/>
      <c r="C99" s="571" t="s">
        <v>638</v>
      </c>
      <c r="D99" s="571"/>
      <c r="E99" s="571"/>
      <c r="F99" s="571"/>
      <c r="G99" s="915">
        <f>IF('装備'!C20="","",'装備'!C20)</f>
      </c>
      <c r="H99" s="915"/>
      <c r="I99" s="915"/>
      <c r="J99" s="915"/>
      <c r="K99" s="915"/>
      <c r="L99" s="915"/>
      <c r="M99" s="915"/>
      <c r="N99" s="915"/>
      <c r="O99" s="916">
        <f t="shared" si="6"/>
        <v>18</v>
      </c>
      <c r="P99" s="916"/>
      <c r="Q99" s="916"/>
      <c r="R99" s="565">
        <f>O32</f>
        <v>11</v>
      </c>
      <c r="S99" s="565"/>
      <c r="T99" s="885">
        <f t="shared" si="7"/>
        <v>7</v>
      </c>
      <c r="U99" s="885"/>
      <c r="V99" s="565">
        <f t="shared" si="8"/>
      </c>
      <c r="W99" s="565"/>
      <c r="X99" s="570"/>
      <c r="Y99" s="570"/>
      <c r="Z99" s="570"/>
      <c r="AA99" s="570"/>
      <c r="AB99" s="565">
        <f aca="true" t="shared" si="10" ref="AB99:AB106">$AB$98</f>
        <v>0</v>
      </c>
      <c r="AC99" s="565"/>
      <c r="AD99" s="570"/>
      <c r="AE99" s="570"/>
      <c r="AF99" s="570"/>
      <c r="AG99" s="570"/>
      <c r="AH99" s="570"/>
      <c r="AI99" s="570"/>
      <c r="AJ99" s="928">
        <f>IF('装備'!R20=0,"",'装備'!R20)</f>
      </c>
      <c r="AK99" s="928"/>
      <c r="AL99" s="565" t="str">
        <f>IF('装備'!O20=0,"",'装備'!O20)</f>
        <v>1d10</v>
      </c>
      <c r="AM99" s="565"/>
      <c r="AN99" s="565"/>
      <c r="AO99" s="932"/>
      <c r="AP99" s="932"/>
      <c r="AQ99" s="565">
        <f>IF('装備'!U20=0,"",'装備'!U20)</f>
      </c>
      <c r="AR99" s="565"/>
      <c r="AS99" s="565"/>
      <c r="AT99" s="565">
        <f>'装備'!T20</f>
        <v>5</v>
      </c>
      <c r="AU99" s="565"/>
      <c r="AV99" s="565"/>
      <c r="AW99" s="565"/>
      <c r="AX99" s="565">
        <f>'装備'!S20</f>
        <v>7</v>
      </c>
      <c r="AY99" s="565"/>
      <c r="AZ99" s="565"/>
      <c r="BA99" s="565" t="str">
        <f>'装備'!P20</f>
        <v>x3</v>
      </c>
      <c r="BB99" s="565"/>
      <c r="BC99" s="565">
        <f>'装備'!Q20</f>
        <v>20</v>
      </c>
      <c r="BD99" s="565"/>
      <c r="BE99" s="939">
        <f>IF('装備'!E20=0,"",'装備'!E20)</f>
      </c>
      <c r="BF99" s="939"/>
      <c r="BG99" s="937">
        <f>IF('装備'!V20=0,"",'装備'!V20)</f>
      </c>
      <c r="BH99" s="937"/>
      <c r="BI99" s="937"/>
      <c r="BJ99" s="937"/>
      <c r="BK99" s="937"/>
      <c r="BL99" s="935">
        <f t="shared" si="9"/>
      </c>
      <c r="BM99" s="936"/>
      <c r="BN99" s="8"/>
      <c r="BO99" s="8"/>
      <c r="BP99" s="8"/>
      <c r="BQ99" s="8"/>
      <c r="BR99" s="8"/>
      <c r="BS99" s="8"/>
      <c r="BT99" s="8"/>
      <c r="BU99" s="8"/>
      <c r="BV99" s="8"/>
      <c r="BW99" s="8"/>
      <c r="BX99" s="8"/>
      <c r="BY99" s="8"/>
      <c r="BZ99" s="8"/>
      <c r="CA99" s="8"/>
      <c r="CB99" s="8"/>
      <c r="CC99" s="8"/>
    </row>
    <row r="100" spans="1:81" ht="15" customHeight="1">
      <c r="A100" s="8"/>
      <c r="B100" s="8"/>
      <c r="C100" s="571" t="s">
        <v>639</v>
      </c>
      <c r="D100" s="571"/>
      <c r="E100" s="571"/>
      <c r="F100" s="571"/>
      <c r="G100" s="915" t="str">
        <f>IF('装備'!C21="","",'装備'!C21)</f>
        <v>Claw</v>
      </c>
      <c r="H100" s="915"/>
      <c r="I100" s="915"/>
      <c r="J100" s="915"/>
      <c r="K100" s="915"/>
      <c r="L100" s="915"/>
      <c r="M100" s="915"/>
      <c r="N100" s="915"/>
      <c r="O100" s="916">
        <f t="shared" si="6"/>
        <v>18</v>
      </c>
      <c r="P100" s="916"/>
      <c r="Q100" s="916"/>
      <c r="R100" s="565">
        <f>O32</f>
        <v>11</v>
      </c>
      <c r="S100" s="565"/>
      <c r="T100" s="885">
        <f t="shared" si="7"/>
        <v>7</v>
      </c>
      <c r="U100" s="885"/>
      <c r="V100" s="565">
        <f t="shared" si="8"/>
      </c>
      <c r="W100" s="565"/>
      <c r="X100" s="570"/>
      <c r="Y100" s="570"/>
      <c r="Z100" s="570"/>
      <c r="AA100" s="570"/>
      <c r="AB100" s="565">
        <f t="shared" si="10"/>
        <v>0</v>
      </c>
      <c r="AC100" s="565"/>
      <c r="AD100" s="570"/>
      <c r="AE100" s="570"/>
      <c r="AF100" s="570"/>
      <c r="AG100" s="570"/>
      <c r="AH100" s="570"/>
      <c r="AI100" s="570"/>
      <c r="AJ100" s="928">
        <f>IF('装備'!R21=0,"",'装備'!R21)</f>
      </c>
      <c r="AK100" s="928"/>
      <c r="AL100" s="565" t="str">
        <f>IF('装備'!O21=0,"",'装備'!O21)</f>
        <v>1d6</v>
      </c>
      <c r="AM100" s="565"/>
      <c r="AN100" s="565"/>
      <c r="AO100" s="931" t="s">
        <v>310</v>
      </c>
      <c r="AP100" s="932"/>
      <c r="AQ100" s="565">
        <f>IF('装備'!U21=0,"",'装備'!U21)</f>
      </c>
      <c r="AR100" s="565"/>
      <c r="AS100" s="565"/>
      <c r="AT100" s="565">
        <f>'装備'!T21</f>
        <v>5</v>
      </c>
      <c r="AU100" s="565"/>
      <c r="AV100" s="565"/>
      <c r="AW100" s="565"/>
      <c r="AX100" s="565">
        <f>'装備'!S21</f>
        <v>1</v>
      </c>
      <c r="AY100" s="565"/>
      <c r="AZ100" s="565"/>
      <c r="BA100" s="565" t="str">
        <f>'装備'!P21</f>
        <v>x2</v>
      </c>
      <c r="BB100" s="565"/>
      <c r="BC100" s="565">
        <f>'装備'!Q21</f>
        <v>20</v>
      </c>
      <c r="BD100" s="565"/>
      <c r="BE100" s="565">
        <f>IF('装備'!E21=0,"",'装備'!E21)</f>
      </c>
      <c r="BF100" s="565"/>
      <c r="BG100" s="937">
        <f>IF('装備'!V21=0,"",'装備'!V21)</f>
      </c>
      <c r="BH100" s="937"/>
      <c r="BI100" s="937"/>
      <c r="BJ100" s="937"/>
      <c r="BK100" s="937"/>
      <c r="BL100" s="935">
        <f t="shared" si="9"/>
      </c>
      <c r="BM100" s="936"/>
      <c r="BN100" s="8"/>
      <c r="BO100" s="8"/>
      <c r="BP100" s="8"/>
      <c r="BQ100" s="8"/>
      <c r="BR100" s="8"/>
      <c r="BS100" s="8"/>
      <c r="BT100" s="8"/>
      <c r="BU100" s="8"/>
      <c r="BV100" s="8"/>
      <c r="BW100" s="8"/>
      <c r="BX100" s="8"/>
      <c r="BY100" s="8"/>
      <c r="BZ100" s="8"/>
      <c r="CA100" s="8"/>
      <c r="CB100" s="8"/>
      <c r="CC100" s="8"/>
    </row>
    <row r="101" spans="1:81" ht="15" customHeight="1">
      <c r="A101" s="8"/>
      <c r="B101" s="8"/>
      <c r="C101" s="571" t="s">
        <v>640</v>
      </c>
      <c r="D101" s="571"/>
      <c r="E101" s="571"/>
      <c r="F101" s="571"/>
      <c r="G101" s="915" t="str">
        <f>IF('装備'!C22="","",'装備'!C22)</f>
        <v>Bite</v>
      </c>
      <c r="H101" s="915"/>
      <c r="I101" s="915"/>
      <c r="J101" s="915"/>
      <c r="K101" s="915"/>
      <c r="L101" s="915"/>
      <c r="M101" s="915"/>
      <c r="N101" s="915"/>
      <c r="O101" s="916">
        <f t="shared" si="6"/>
        <v>18</v>
      </c>
      <c r="P101" s="916"/>
      <c r="Q101" s="916"/>
      <c r="R101" s="565">
        <f>O32</f>
        <v>11</v>
      </c>
      <c r="S101" s="565"/>
      <c r="T101" s="885">
        <f t="shared" si="7"/>
        <v>7</v>
      </c>
      <c r="U101" s="885"/>
      <c r="V101" s="565">
        <f t="shared" si="8"/>
      </c>
      <c r="W101" s="565"/>
      <c r="X101" s="570"/>
      <c r="Y101" s="570"/>
      <c r="Z101" s="570"/>
      <c r="AA101" s="570"/>
      <c r="AB101" s="565">
        <f t="shared" si="10"/>
        <v>0</v>
      </c>
      <c r="AC101" s="565"/>
      <c r="AD101" s="570"/>
      <c r="AE101" s="570"/>
      <c r="AF101" s="570"/>
      <c r="AG101" s="570"/>
      <c r="AH101" s="570"/>
      <c r="AI101" s="570"/>
      <c r="AJ101" s="928">
        <f>IF('装備'!R22=0,"",'装備'!R22)</f>
      </c>
      <c r="AK101" s="928"/>
      <c r="AL101" s="565" t="str">
        <f>IF('装備'!O22=0,"",'装備'!O22)</f>
        <v>1d4</v>
      </c>
      <c r="AM101" s="565"/>
      <c r="AN101" s="565"/>
      <c r="AO101" s="931" t="s">
        <v>310</v>
      </c>
      <c r="AP101" s="932"/>
      <c r="AQ101" s="565">
        <f>IF('装備'!U22=0,"",'装備'!U22)</f>
      </c>
      <c r="AR101" s="565"/>
      <c r="AS101" s="565"/>
      <c r="AT101" s="565">
        <f>'装備'!T22</f>
        <v>5</v>
      </c>
      <c r="AU101" s="565"/>
      <c r="AV101" s="565"/>
      <c r="AW101" s="565"/>
      <c r="AX101" s="565">
        <f>'装備'!S22</f>
        <v>13</v>
      </c>
      <c r="AY101" s="565"/>
      <c r="AZ101" s="565"/>
      <c r="BA101" s="565" t="str">
        <f>'装備'!P22</f>
        <v>x2</v>
      </c>
      <c r="BB101" s="565"/>
      <c r="BC101" s="565">
        <f>'装備'!Q22</f>
        <v>20</v>
      </c>
      <c r="BD101" s="565"/>
      <c r="BE101" s="565">
        <f>IF('装備'!E22=0,"",'装備'!E22)</f>
      </c>
      <c r="BF101" s="565"/>
      <c r="BG101" s="937">
        <f>IF('装備'!V22=0,"",'装備'!V22)</f>
      </c>
      <c r="BH101" s="937"/>
      <c r="BI101" s="937"/>
      <c r="BJ101" s="937"/>
      <c r="BK101" s="937"/>
      <c r="BL101" s="935">
        <f t="shared" si="9"/>
      </c>
      <c r="BM101" s="936"/>
      <c r="BN101" s="8"/>
      <c r="BO101" s="8"/>
      <c r="BP101" s="8"/>
      <c r="BQ101" s="8"/>
      <c r="BR101" s="8"/>
      <c r="BS101" s="8"/>
      <c r="BT101" s="8"/>
      <c r="BU101" s="8"/>
      <c r="BV101" s="8"/>
      <c r="BW101" s="8"/>
      <c r="BX101" s="8"/>
      <c r="BY101" s="8"/>
      <c r="BZ101" s="8"/>
      <c r="CA101" s="8"/>
      <c r="CB101" s="8"/>
      <c r="CC101" s="8"/>
    </row>
    <row r="102" spans="1:81" ht="15" customHeight="1">
      <c r="A102" s="8"/>
      <c r="B102" s="8"/>
      <c r="C102" s="576" t="s">
        <v>641</v>
      </c>
      <c r="D102" s="576"/>
      <c r="E102" s="576"/>
      <c r="F102" s="576"/>
      <c r="G102" s="922" t="s">
        <v>641</v>
      </c>
      <c r="H102" s="922"/>
      <c r="I102" s="922"/>
      <c r="J102" s="922"/>
      <c r="K102" s="922"/>
      <c r="L102" s="922"/>
      <c r="M102" s="922"/>
      <c r="N102" s="922"/>
      <c r="O102" s="916">
        <f t="shared" si="6"/>
        <v>18</v>
      </c>
      <c r="P102" s="916"/>
      <c r="Q102" s="916"/>
      <c r="R102" s="565">
        <f>O32</f>
        <v>11</v>
      </c>
      <c r="S102" s="565"/>
      <c r="T102" s="885">
        <f t="shared" si="7"/>
        <v>7</v>
      </c>
      <c r="U102" s="885"/>
      <c r="V102" s="565">
        <f t="shared" si="8"/>
      </c>
      <c r="W102" s="565"/>
      <c r="X102" s="570"/>
      <c r="Y102" s="570"/>
      <c r="Z102" s="570"/>
      <c r="AA102" s="570"/>
      <c r="AB102" s="565">
        <f t="shared" si="10"/>
        <v>0</v>
      </c>
      <c r="AC102" s="565"/>
      <c r="AD102" s="570"/>
      <c r="AE102" s="570"/>
      <c r="AF102" s="570"/>
      <c r="AG102" s="570"/>
      <c r="AH102" s="570"/>
      <c r="AI102" s="570"/>
      <c r="AJ102" s="928"/>
      <c r="AK102" s="928"/>
      <c r="AL102" s="759"/>
      <c r="AM102" s="759"/>
      <c r="AN102" s="759"/>
      <c r="AO102" s="931" t="s">
        <v>310</v>
      </c>
      <c r="AP102" s="932"/>
      <c r="AQ102" s="759"/>
      <c r="AR102" s="759"/>
      <c r="AS102" s="759"/>
      <c r="AT102" s="759">
        <v>5</v>
      </c>
      <c r="AU102" s="759"/>
      <c r="AV102" s="759"/>
      <c r="AW102" s="759"/>
      <c r="AX102" s="565">
        <v>3</v>
      </c>
      <c r="AY102" s="565"/>
      <c r="AZ102" s="565"/>
      <c r="BA102" s="759" t="s">
        <v>311</v>
      </c>
      <c r="BB102" s="759"/>
      <c r="BC102" s="759">
        <v>20</v>
      </c>
      <c r="BD102" s="759"/>
      <c r="BE102" s="570" t="s">
        <v>351</v>
      </c>
      <c r="BF102" s="570"/>
      <c r="BG102" s="938"/>
      <c r="BH102" s="938"/>
      <c r="BI102" s="938"/>
      <c r="BJ102" s="938"/>
      <c r="BK102" s="938"/>
      <c r="BL102" s="935">
        <f t="shared" si="9"/>
      </c>
      <c r="BM102" s="936"/>
      <c r="BN102" s="8"/>
      <c r="BO102" s="8"/>
      <c r="BP102" s="8"/>
      <c r="BQ102" s="8"/>
      <c r="BR102" s="8"/>
      <c r="BS102" s="8"/>
      <c r="BT102" s="8"/>
      <c r="BU102" s="8"/>
      <c r="BV102" s="8"/>
      <c r="BW102" s="8"/>
      <c r="BX102" s="8"/>
      <c r="BY102" s="8"/>
      <c r="BZ102" s="8"/>
      <c r="CA102" s="8"/>
      <c r="CB102" s="8"/>
      <c r="CC102" s="8"/>
    </row>
    <row r="103" spans="1:81" ht="15" customHeight="1">
      <c r="A103" s="8"/>
      <c r="B103" s="8"/>
      <c r="C103" s="576" t="s">
        <v>642</v>
      </c>
      <c r="D103" s="576"/>
      <c r="E103" s="576"/>
      <c r="F103" s="576"/>
      <c r="G103" s="922" t="s">
        <v>642</v>
      </c>
      <c r="H103" s="922"/>
      <c r="I103" s="922"/>
      <c r="J103" s="922"/>
      <c r="K103" s="922"/>
      <c r="L103" s="922"/>
      <c r="M103" s="922"/>
      <c r="N103" s="922"/>
      <c r="O103" s="916">
        <f t="shared" si="6"/>
        <v>18</v>
      </c>
      <c r="P103" s="916"/>
      <c r="Q103" s="916"/>
      <c r="R103" s="565">
        <f>O32</f>
        <v>11</v>
      </c>
      <c r="S103" s="565"/>
      <c r="T103" s="885">
        <f t="shared" si="7"/>
        <v>7</v>
      </c>
      <c r="U103" s="885"/>
      <c r="V103" s="565">
        <f t="shared" si="8"/>
      </c>
      <c r="W103" s="565"/>
      <c r="X103" s="570"/>
      <c r="Y103" s="570"/>
      <c r="Z103" s="570"/>
      <c r="AA103" s="570"/>
      <c r="AB103" s="565">
        <f t="shared" si="10"/>
        <v>0</v>
      </c>
      <c r="AC103" s="565"/>
      <c r="AD103" s="570"/>
      <c r="AE103" s="570"/>
      <c r="AF103" s="570"/>
      <c r="AG103" s="570"/>
      <c r="AH103" s="570"/>
      <c r="AI103" s="570"/>
      <c r="AJ103" s="928"/>
      <c r="AK103" s="928"/>
      <c r="AL103" s="759"/>
      <c r="AM103" s="759"/>
      <c r="AN103" s="759"/>
      <c r="AO103" s="931" t="s">
        <v>310</v>
      </c>
      <c r="AP103" s="932"/>
      <c r="AQ103" s="759"/>
      <c r="AR103" s="759"/>
      <c r="AS103" s="759"/>
      <c r="AT103" s="759">
        <v>5</v>
      </c>
      <c r="AU103" s="759"/>
      <c r="AV103" s="759"/>
      <c r="AW103" s="759"/>
      <c r="AX103" s="565">
        <v>13</v>
      </c>
      <c r="AY103" s="565"/>
      <c r="AZ103" s="565"/>
      <c r="BA103" s="759" t="s">
        <v>311</v>
      </c>
      <c r="BB103" s="759"/>
      <c r="BC103" s="759">
        <v>20</v>
      </c>
      <c r="BD103" s="759"/>
      <c r="BE103" s="570"/>
      <c r="BF103" s="570"/>
      <c r="BG103" s="938"/>
      <c r="BH103" s="938"/>
      <c r="BI103" s="938"/>
      <c r="BJ103" s="938"/>
      <c r="BK103" s="938"/>
      <c r="BL103" s="935">
        <f t="shared" si="9"/>
      </c>
      <c r="BM103" s="936"/>
      <c r="BN103" s="8"/>
      <c r="BO103" s="8"/>
      <c r="BP103" s="8"/>
      <c r="BQ103" s="8"/>
      <c r="BR103" s="8"/>
      <c r="BS103" s="8"/>
      <c r="BT103" s="8"/>
      <c r="BU103" s="8"/>
      <c r="BV103" s="8"/>
      <c r="BW103" s="8"/>
      <c r="BX103" s="8"/>
      <c r="BY103" s="8"/>
      <c r="BZ103" s="8"/>
      <c r="CA103" s="8"/>
      <c r="CB103" s="8"/>
      <c r="CC103" s="8"/>
    </row>
    <row r="104" spans="1:81" ht="15" customHeight="1">
      <c r="A104" s="8"/>
      <c r="B104" s="8"/>
      <c r="C104" s="571" t="s">
        <v>643</v>
      </c>
      <c r="D104" s="571"/>
      <c r="E104" s="571"/>
      <c r="F104" s="571"/>
      <c r="G104" s="915">
        <f>IF('装備'!C23="","",'装備'!C23)</f>
      </c>
      <c r="H104" s="915"/>
      <c r="I104" s="915"/>
      <c r="J104" s="915"/>
      <c r="K104" s="915"/>
      <c r="L104" s="915"/>
      <c r="M104" s="915"/>
      <c r="N104" s="915"/>
      <c r="O104" s="916">
        <f t="shared" si="6"/>
        <v>11</v>
      </c>
      <c r="P104" s="916"/>
      <c r="Q104" s="916"/>
      <c r="R104" s="565">
        <f>O32</f>
        <v>11</v>
      </c>
      <c r="S104" s="565"/>
      <c r="T104" s="565"/>
      <c r="U104" s="565"/>
      <c r="V104" s="661">
        <f>L19</f>
        <v>0</v>
      </c>
      <c r="W104" s="661"/>
      <c r="X104" s="570"/>
      <c r="Y104" s="570"/>
      <c r="Z104" s="570"/>
      <c r="AA104" s="570"/>
      <c r="AB104" s="565">
        <f t="shared" si="10"/>
        <v>0</v>
      </c>
      <c r="AC104" s="565"/>
      <c r="AD104" s="570"/>
      <c r="AE104" s="570"/>
      <c r="AF104" s="570"/>
      <c r="AG104" s="570"/>
      <c r="AH104" s="570"/>
      <c r="AI104" s="570"/>
      <c r="AJ104" s="928">
        <f>IF('装備'!R23=0,"",'装備'!R23)</f>
      </c>
      <c r="AK104" s="928"/>
      <c r="AL104" s="565">
        <f>IF('装備'!O23=0,"",'装備'!O23)</f>
      </c>
      <c r="AM104" s="565"/>
      <c r="AN104" s="565"/>
      <c r="AO104" s="931" t="s">
        <v>310</v>
      </c>
      <c r="AP104" s="932"/>
      <c r="AQ104" s="565">
        <f>IF('装備'!U23=0,"",'装備'!U23)</f>
      </c>
      <c r="AR104" s="565"/>
      <c r="AS104" s="565"/>
      <c r="AT104" s="565">
        <f>'装備'!T23</f>
        <v>5</v>
      </c>
      <c r="AU104" s="565"/>
      <c r="AV104" s="565"/>
      <c r="AW104" s="565"/>
      <c r="AX104" s="565">
        <f>'装備'!S23</f>
        <v>13</v>
      </c>
      <c r="AY104" s="565"/>
      <c r="AZ104" s="565"/>
      <c r="BA104" s="565" t="str">
        <f>'装備'!P23</f>
        <v>x2</v>
      </c>
      <c r="BB104" s="565"/>
      <c r="BC104" s="565">
        <f>'装備'!Q23</f>
        <v>20</v>
      </c>
      <c r="BD104" s="565"/>
      <c r="BE104" s="565">
        <f>IF('装備'!E23=0,"",'装備'!E23)</f>
      </c>
      <c r="BF104" s="565"/>
      <c r="BG104" s="937">
        <f>IF('装備'!V23=0,"",'装備'!V23)</f>
      </c>
      <c r="BH104" s="937"/>
      <c r="BI104" s="937"/>
      <c r="BJ104" s="937"/>
      <c r="BK104" s="937"/>
      <c r="BL104" s="8"/>
      <c r="BM104" s="8"/>
      <c r="BN104" s="8"/>
      <c r="BO104" s="8"/>
      <c r="BP104" s="8"/>
      <c r="BQ104" s="8"/>
      <c r="BR104" s="8"/>
      <c r="BS104" s="8"/>
      <c r="BT104" s="8"/>
      <c r="BU104" s="8"/>
      <c r="BV104" s="8"/>
      <c r="BW104" s="8"/>
      <c r="BX104" s="8"/>
      <c r="BY104" s="8"/>
      <c r="BZ104" s="8"/>
      <c r="CA104" s="8"/>
      <c r="CB104" s="8"/>
      <c r="CC104" s="8"/>
    </row>
    <row r="105" spans="1:81" ht="15" customHeight="1">
      <c r="A105" s="8"/>
      <c r="B105" s="8"/>
      <c r="C105" s="571" t="s">
        <v>644</v>
      </c>
      <c r="D105" s="571"/>
      <c r="E105" s="571"/>
      <c r="F105" s="571"/>
      <c r="G105" s="915">
        <f>IF('装備'!C24="","",'装備'!C24)</f>
      </c>
      <c r="H105" s="915"/>
      <c r="I105" s="915"/>
      <c r="J105" s="915"/>
      <c r="K105" s="915"/>
      <c r="L105" s="915"/>
      <c r="M105" s="915"/>
      <c r="N105" s="915"/>
      <c r="O105" s="916">
        <f t="shared" si="6"/>
        <v>11</v>
      </c>
      <c r="P105" s="916"/>
      <c r="Q105" s="916"/>
      <c r="R105" s="565">
        <f>O32</f>
        <v>11</v>
      </c>
      <c r="S105" s="565"/>
      <c r="T105" s="565"/>
      <c r="U105" s="565"/>
      <c r="V105" s="661">
        <f>L19</f>
        <v>0</v>
      </c>
      <c r="W105" s="661"/>
      <c r="X105" s="570"/>
      <c r="Y105" s="570"/>
      <c r="Z105" s="570"/>
      <c r="AA105" s="570"/>
      <c r="AB105" s="565">
        <f t="shared" si="10"/>
        <v>0</v>
      </c>
      <c r="AC105" s="565"/>
      <c r="AD105" s="570"/>
      <c r="AE105" s="570"/>
      <c r="AF105" s="570"/>
      <c r="AG105" s="570"/>
      <c r="AH105" s="570"/>
      <c r="AI105" s="570"/>
      <c r="AJ105" s="928">
        <f>IF('装備'!R24=0,"",'装備'!R24)</f>
      </c>
      <c r="AK105" s="928"/>
      <c r="AL105" s="565">
        <f>IF('装備'!O24=0,"",'装備'!O24)</f>
      </c>
      <c r="AM105" s="565"/>
      <c r="AN105" s="565"/>
      <c r="AO105" s="931" t="s">
        <v>310</v>
      </c>
      <c r="AP105" s="932"/>
      <c r="AQ105" s="565">
        <f>IF('装備'!U24=0,"",'装備'!U24)</f>
      </c>
      <c r="AR105" s="565"/>
      <c r="AS105" s="565"/>
      <c r="AT105" s="565">
        <f>'装備'!T24</f>
        <v>5</v>
      </c>
      <c r="AU105" s="565"/>
      <c r="AV105" s="565"/>
      <c r="AW105" s="565"/>
      <c r="AX105" s="565">
        <f>'装備'!S24</f>
        <v>13</v>
      </c>
      <c r="AY105" s="565"/>
      <c r="AZ105" s="565"/>
      <c r="BA105" s="565" t="str">
        <f>'装備'!P24</f>
        <v>x2</v>
      </c>
      <c r="BB105" s="565"/>
      <c r="BC105" s="565">
        <f>'装備'!Q24</f>
        <v>20</v>
      </c>
      <c r="BD105" s="565"/>
      <c r="BE105" s="565">
        <f>IF('装備'!E24=0,"",'装備'!E24)</f>
      </c>
      <c r="BF105" s="565"/>
      <c r="BG105" s="937">
        <f>IF('装備'!V24=0,"",'装備'!V24)</f>
      </c>
      <c r="BH105" s="937"/>
      <c r="BI105" s="937"/>
      <c r="BJ105" s="937"/>
      <c r="BK105" s="937"/>
      <c r="BL105" s="8"/>
      <c r="BM105" s="8"/>
      <c r="BN105" s="8"/>
      <c r="BO105" s="8"/>
      <c r="BP105" s="8"/>
      <c r="BQ105" s="8"/>
      <c r="BR105" s="8"/>
      <c r="BS105" s="8"/>
      <c r="BT105" s="8"/>
      <c r="BU105" s="8"/>
      <c r="BV105" s="8"/>
      <c r="BW105" s="8"/>
      <c r="BX105" s="8"/>
      <c r="BY105" s="8"/>
      <c r="BZ105" s="8"/>
      <c r="CA105" s="8"/>
      <c r="CB105" s="8"/>
      <c r="CC105" s="8"/>
    </row>
    <row r="106" spans="1:81" ht="15" customHeight="1">
      <c r="A106" s="8"/>
      <c r="B106" s="8"/>
      <c r="C106" s="571" t="s">
        <v>645</v>
      </c>
      <c r="D106" s="571"/>
      <c r="E106" s="571"/>
      <c r="F106" s="571"/>
      <c r="G106" s="922" t="s">
        <v>645</v>
      </c>
      <c r="H106" s="922"/>
      <c r="I106" s="922"/>
      <c r="J106" s="922"/>
      <c r="K106" s="922"/>
      <c r="L106" s="922"/>
      <c r="M106" s="922"/>
      <c r="N106" s="922"/>
      <c r="O106" s="916">
        <f t="shared" si="6"/>
        <v>11</v>
      </c>
      <c r="P106" s="916"/>
      <c r="Q106" s="916"/>
      <c r="R106" s="565">
        <f>O32</f>
        <v>11</v>
      </c>
      <c r="S106" s="565"/>
      <c r="T106" s="565"/>
      <c r="U106" s="565"/>
      <c r="V106" s="661">
        <f>L19</f>
        <v>0</v>
      </c>
      <c r="W106" s="661"/>
      <c r="X106" s="570"/>
      <c r="Y106" s="570"/>
      <c r="Z106" s="570"/>
      <c r="AA106" s="570"/>
      <c r="AB106" s="565">
        <f t="shared" si="10"/>
        <v>0</v>
      </c>
      <c r="AC106" s="565"/>
      <c r="AD106" s="570"/>
      <c r="AE106" s="570"/>
      <c r="AF106" s="570"/>
      <c r="AG106" s="570"/>
      <c r="AH106" s="570"/>
      <c r="AI106" s="570"/>
      <c r="AJ106" s="929"/>
      <c r="AK106" s="929"/>
      <c r="AL106" s="759"/>
      <c r="AM106" s="759"/>
      <c r="AN106" s="759"/>
      <c r="AO106" s="931" t="s">
        <v>310</v>
      </c>
      <c r="AP106" s="932"/>
      <c r="AQ106" s="759"/>
      <c r="AR106" s="759"/>
      <c r="AS106" s="759"/>
      <c r="AT106" s="759">
        <v>5</v>
      </c>
      <c r="AU106" s="759"/>
      <c r="AV106" s="759"/>
      <c r="AW106" s="759"/>
      <c r="AX106" s="565">
        <v>13</v>
      </c>
      <c r="AY106" s="565"/>
      <c r="AZ106" s="565"/>
      <c r="BA106" s="759" t="s">
        <v>311</v>
      </c>
      <c r="BB106" s="759"/>
      <c r="BC106" s="759">
        <v>20</v>
      </c>
      <c r="BD106" s="759"/>
      <c r="BE106" s="570"/>
      <c r="BF106" s="570"/>
      <c r="BG106" s="938"/>
      <c r="BH106" s="938"/>
      <c r="BI106" s="938"/>
      <c r="BJ106" s="938"/>
      <c r="BK106" s="938"/>
      <c r="BL106" s="8"/>
      <c r="BM106" s="8"/>
      <c r="BN106" s="8"/>
      <c r="BO106" s="8"/>
      <c r="BP106" s="8"/>
      <c r="BQ106" s="8"/>
      <c r="BR106" s="8"/>
      <c r="BS106" s="8"/>
      <c r="BT106" s="8"/>
      <c r="BU106" s="8"/>
      <c r="BV106" s="8"/>
      <c r="BW106" s="8"/>
      <c r="BX106" s="8"/>
      <c r="BY106" s="8"/>
      <c r="BZ106" s="8"/>
      <c r="CA106" s="8"/>
      <c r="CB106" s="8"/>
      <c r="CC106" s="8"/>
    </row>
    <row r="107" spans="1:81" ht="15" customHeight="1">
      <c r="A107" s="8"/>
      <c r="B107" s="8"/>
      <c r="C107" s="25" t="s">
        <v>646</v>
      </c>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c r="CC107" s="8"/>
    </row>
    <row r="108" spans="1:81" ht="1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c r="CC108" s="8"/>
    </row>
  </sheetData>
  <sheetProtection/>
  <mergeCells count="1338">
    <mergeCell ref="AV11:AY11"/>
    <mergeCell ref="AZ11:BB11"/>
    <mergeCell ref="BC11:BF11"/>
    <mergeCell ref="BG11:BI11"/>
    <mergeCell ref="AZ74:BE74"/>
    <mergeCell ref="C6:G6"/>
    <mergeCell ref="AB64:AD64"/>
    <mergeCell ref="W61:Y61"/>
    <mergeCell ref="W62:Y62"/>
    <mergeCell ref="W64:Y64"/>
    <mergeCell ref="AD53:AI53"/>
    <mergeCell ref="AA45:AB45"/>
    <mergeCell ref="AA46:AB46"/>
    <mergeCell ref="AD35:AI35"/>
    <mergeCell ref="AJ35:AQ35"/>
    <mergeCell ref="AD48:AI48"/>
    <mergeCell ref="AD45:AI45"/>
    <mergeCell ref="AD38:AI38"/>
    <mergeCell ref="AD39:AI39"/>
    <mergeCell ref="AD41:AI41"/>
    <mergeCell ref="AY42:BA42"/>
    <mergeCell ref="AY43:BA43"/>
    <mergeCell ref="AJ45:AR45"/>
    <mergeCell ref="AJ47:AR47"/>
    <mergeCell ref="AE61:AF61"/>
    <mergeCell ref="AB62:AD62"/>
    <mergeCell ref="AD56:AI56"/>
    <mergeCell ref="AD47:AI47"/>
    <mergeCell ref="AJ52:AR52"/>
    <mergeCell ref="AD51:AI51"/>
    <mergeCell ref="AE64:AF64"/>
    <mergeCell ref="Y57:Z57"/>
    <mergeCell ref="AD42:AI42"/>
    <mergeCell ref="AJ46:AR46"/>
    <mergeCell ref="AJ41:AR41"/>
    <mergeCell ref="BA31:BE31"/>
    <mergeCell ref="AD43:AI43"/>
    <mergeCell ref="AD46:AI46"/>
    <mergeCell ref="AD44:AI44"/>
    <mergeCell ref="AY41:BA41"/>
    <mergeCell ref="AG71:AH71"/>
    <mergeCell ref="AE70:AF70"/>
    <mergeCell ref="W65:Y65"/>
    <mergeCell ref="AD57:AI57"/>
    <mergeCell ref="AB61:AD61"/>
    <mergeCell ref="AE62:AF62"/>
    <mergeCell ref="AE63:AF63"/>
    <mergeCell ref="AG61:AH61"/>
    <mergeCell ref="AG62:AH62"/>
    <mergeCell ref="AA57:AB57"/>
    <mergeCell ref="AK74:AL74"/>
    <mergeCell ref="AI71:AJ71"/>
    <mergeCell ref="AG63:AH63"/>
    <mergeCell ref="C68:G68"/>
    <mergeCell ref="AK72:AL72"/>
    <mergeCell ref="AE72:AF72"/>
    <mergeCell ref="AI72:AJ72"/>
    <mergeCell ref="AA68:AB68"/>
    <mergeCell ref="AE69:AF69"/>
    <mergeCell ref="AE71:AF71"/>
    <mergeCell ref="Y75:Z75"/>
    <mergeCell ref="AA75:AB75"/>
    <mergeCell ref="AC75:AD75"/>
    <mergeCell ref="AE75:AF75"/>
    <mergeCell ref="W71:X71"/>
    <mergeCell ref="Y71:Z71"/>
    <mergeCell ref="W74:X74"/>
    <mergeCell ref="D64:I64"/>
    <mergeCell ref="D65:I65"/>
    <mergeCell ref="M65:N65"/>
    <mergeCell ref="N68:R68"/>
    <mergeCell ref="O65:P65"/>
    <mergeCell ref="J65:L65"/>
    <mergeCell ref="M64:N64"/>
    <mergeCell ref="J64:L64"/>
    <mergeCell ref="H68:K68"/>
    <mergeCell ref="L68:M68"/>
    <mergeCell ref="AC77:AD77"/>
    <mergeCell ref="AC74:AD74"/>
    <mergeCell ref="AC76:AD76"/>
    <mergeCell ref="AE77:AF77"/>
    <mergeCell ref="AE76:AF76"/>
    <mergeCell ref="AC73:AD73"/>
    <mergeCell ref="AE74:AF74"/>
    <mergeCell ref="AE73:AF73"/>
    <mergeCell ref="AG76:AH76"/>
    <mergeCell ref="AE67:AF67"/>
    <mergeCell ref="AI70:AJ70"/>
    <mergeCell ref="AK68:AL68"/>
    <mergeCell ref="AJ57:AR57"/>
    <mergeCell ref="AQ61:AS61"/>
    <mergeCell ref="AQ60:AS60"/>
    <mergeCell ref="AJ60:AP60"/>
    <mergeCell ref="AJ61:AP61"/>
    <mergeCell ref="AK75:AL75"/>
    <mergeCell ref="AN66:AP66"/>
    <mergeCell ref="AN67:AP67"/>
    <mergeCell ref="AN68:AP68"/>
    <mergeCell ref="AG68:AH68"/>
    <mergeCell ref="AG69:AH69"/>
    <mergeCell ref="AG70:AH70"/>
    <mergeCell ref="AI68:AJ68"/>
    <mergeCell ref="AI69:AJ69"/>
    <mergeCell ref="AG72:AH72"/>
    <mergeCell ref="AI75:AJ75"/>
    <mergeCell ref="AI73:AJ73"/>
    <mergeCell ref="AG73:AH73"/>
    <mergeCell ref="AI74:AJ74"/>
    <mergeCell ref="AG74:AH74"/>
    <mergeCell ref="M80:N80"/>
    <mergeCell ref="O80:P80"/>
    <mergeCell ref="AA80:AB80"/>
    <mergeCell ref="Y77:Z77"/>
    <mergeCell ref="S77:T77"/>
    <mergeCell ref="J77:M77"/>
    <mergeCell ref="N77:R77"/>
    <mergeCell ref="J78:K78"/>
    <mergeCell ref="AA77:AB77"/>
    <mergeCell ref="J80:L80"/>
    <mergeCell ref="AC80:AD80"/>
    <mergeCell ref="AE65:AF65"/>
    <mergeCell ref="AH93:AK93"/>
    <mergeCell ref="AH92:AN92"/>
    <mergeCell ref="AC90:AD90"/>
    <mergeCell ref="AC91:AD91"/>
    <mergeCell ref="AC92:AD92"/>
    <mergeCell ref="AC93:AD93"/>
    <mergeCell ref="AG84:AI84"/>
    <mergeCell ref="AN78:AP78"/>
    <mergeCell ref="AO100:AP100"/>
    <mergeCell ref="AL105:AN105"/>
    <mergeCell ref="AO101:AP101"/>
    <mergeCell ref="AO102:AP102"/>
    <mergeCell ref="AO103:AP103"/>
    <mergeCell ref="AO104:AP104"/>
    <mergeCell ref="AL100:AN100"/>
    <mergeCell ref="AL101:AN101"/>
    <mergeCell ref="AJ101:AK101"/>
    <mergeCell ref="BL96:BM97"/>
    <mergeCell ref="AQ96:AS97"/>
    <mergeCell ref="AQ98:AS98"/>
    <mergeCell ref="AQ99:AS99"/>
    <mergeCell ref="AT96:AW97"/>
    <mergeCell ref="BE96:BF97"/>
    <mergeCell ref="BC96:BD97"/>
    <mergeCell ref="BC99:BD99"/>
    <mergeCell ref="BA96:BB97"/>
    <mergeCell ref="BG96:BK97"/>
    <mergeCell ref="BG104:BK104"/>
    <mergeCell ref="BC100:BD100"/>
    <mergeCell ref="BC101:BD101"/>
    <mergeCell ref="BC102:BD102"/>
    <mergeCell ref="BC103:BD103"/>
    <mergeCell ref="BC104:BD104"/>
    <mergeCell ref="BE98:BF98"/>
    <mergeCell ref="BE99:BF99"/>
    <mergeCell ref="BE100:BF100"/>
    <mergeCell ref="BG105:BK105"/>
    <mergeCell ref="BG99:BK99"/>
    <mergeCell ref="BG100:BK100"/>
    <mergeCell ref="BE106:BF106"/>
    <mergeCell ref="BG106:BK106"/>
    <mergeCell ref="BE102:BF102"/>
    <mergeCell ref="BE103:BF103"/>
    <mergeCell ref="BE104:BF104"/>
    <mergeCell ref="BE105:BF105"/>
    <mergeCell ref="BG103:BK103"/>
    <mergeCell ref="BL102:BM102"/>
    <mergeCell ref="BL103:BM103"/>
    <mergeCell ref="BG98:BK98"/>
    <mergeCell ref="BG101:BK101"/>
    <mergeCell ref="BG102:BK102"/>
    <mergeCell ref="BL98:BM98"/>
    <mergeCell ref="BL99:BM99"/>
    <mergeCell ref="BL100:BM100"/>
    <mergeCell ref="BL101:BM101"/>
    <mergeCell ref="BE101:BF101"/>
    <mergeCell ref="AO96:AP97"/>
    <mergeCell ref="AO98:AP98"/>
    <mergeCell ref="AO99:AP99"/>
    <mergeCell ref="AT98:AW98"/>
    <mergeCell ref="AT99:AW99"/>
    <mergeCell ref="BA100:BB100"/>
    <mergeCell ref="AX96:AZ97"/>
    <mergeCell ref="BA98:BB98"/>
    <mergeCell ref="AX98:AZ98"/>
    <mergeCell ref="AQ106:AS106"/>
    <mergeCell ref="AQ103:AS103"/>
    <mergeCell ref="AQ102:AS102"/>
    <mergeCell ref="BA106:BB106"/>
    <mergeCell ref="AX106:AZ106"/>
    <mergeCell ref="AX105:AZ105"/>
    <mergeCell ref="AQ104:AS104"/>
    <mergeCell ref="AQ105:AS105"/>
    <mergeCell ref="AX99:AZ99"/>
    <mergeCell ref="AX102:AZ102"/>
    <mergeCell ref="AX103:AZ103"/>
    <mergeCell ref="BC106:BD106"/>
    <mergeCell ref="BC98:BD98"/>
    <mergeCell ref="BC105:BD105"/>
    <mergeCell ref="BA105:BB105"/>
    <mergeCell ref="BA103:BB103"/>
    <mergeCell ref="BA104:BB104"/>
    <mergeCell ref="AX104:AZ104"/>
    <mergeCell ref="BA99:BB99"/>
    <mergeCell ref="AX100:AZ100"/>
    <mergeCell ref="AX101:AZ101"/>
    <mergeCell ref="BA101:BB101"/>
    <mergeCell ref="BA102:BB102"/>
    <mergeCell ref="AT106:AW106"/>
    <mergeCell ref="AT102:AW102"/>
    <mergeCell ref="AT103:AW103"/>
    <mergeCell ref="AT104:AW104"/>
    <mergeCell ref="AT105:AW105"/>
    <mergeCell ref="AT100:AW100"/>
    <mergeCell ref="AT101:AW101"/>
    <mergeCell ref="AQ100:AS100"/>
    <mergeCell ref="AQ101:AS101"/>
    <mergeCell ref="AO106:AP106"/>
    <mergeCell ref="AL106:AN106"/>
    <mergeCell ref="AL102:AN102"/>
    <mergeCell ref="AL103:AN103"/>
    <mergeCell ref="AL104:AN104"/>
    <mergeCell ref="AO105:AP105"/>
    <mergeCell ref="AJ96:AK97"/>
    <mergeCell ref="AL96:AN97"/>
    <mergeCell ref="AH100:AI100"/>
    <mergeCell ref="AL98:AN98"/>
    <mergeCell ref="AL99:AN99"/>
    <mergeCell ref="AH96:AI97"/>
    <mergeCell ref="AJ98:AK98"/>
    <mergeCell ref="AJ99:AK99"/>
    <mergeCell ref="AJ100:AK100"/>
    <mergeCell ref="AH102:AI102"/>
    <mergeCell ref="AJ106:AK106"/>
    <mergeCell ref="AH106:AI106"/>
    <mergeCell ref="AH104:AI104"/>
    <mergeCell ref="AH105:AI105"/>
    <mergeCell ref="AJ105:AK105"/>
    <mergeCell ref="AH103:AI103"/>
    <mergeCell ref="AF102:AG102"/>
    <mergeCell ref="AF103:AG103"/>
    <mergeCell ref="AJ102:AK102"/>
    <mergeCell ref="AJ103:AK103"/>
    <mergeCell ref="AJ104:AK104"/>
    <mergeCell ref="AF98:AG98"/>
    <mergeCell ref="AF99:AG99"/>
    <mergeCell ref="AF100:AG100"/>
    <mergeCell ref="AF101:AG101"/>
    <mergeCell ref="AH101:AI101"/>
    <mergeCell ref="AB105:AC105"/>
    <mergeCell ref="AB106:AC106"/>
    <mergeCell ref="AD102:AE102"/>
    <mergeCell ref="AD103:AE103"/>
    <mergeCell ref="AF105:AG105"/>
    <mergeCell ref="AF104:AG104"/>
    <mergeCell ref="AD105:AE105"/>
    <mergeCell ref="AD106:AE106"/>
    <mergeCell ref="AD104:AE104"/>
    <mergeCell ref="AF106:AG106"/>
    <mergeCell ref="AB100:AC100"/>
    <mergeCell ref="AB104:AC104"/>
    <mergeCell ref="Z96:AA97"/>
    <mergeCell ref="AB96:AC97"/>
    <mergeCell ref="AB98:AC98"/>
    <mergeCell ref="AB99:AC99"/>
    <mergeCell ref="AB101:AC101"/>
    <mergeCell ref="AB102:AC102"/>
    <mergeCell ref="AB103:AC103"/>
    <mergeCell ref="X105:Y105"/>
    <mergeCell ref="X106:Y106"/>
    <mergeCell ref="Z99:AA99"/>
    <mergeCell ref="Z100:AA100"/>
    <mergeCell ref="Z101:AA101"/>
    <mergeCell ref="Z102:AA102"/>
    <mergeCell ref="Z103:AA103"/>
    <mergeCell ref="Z104:AA104"/>
    <mergeCell ref="Z105:AA105"/>
    <mergeCell ref="Z106:AA106"/>
    <mergeCell ref="V106:W106"/>
    <mergeCell ref="X96:Y97"/>
    <mergeCell ref="X98:Y98"/>
    <mergeCell ref="X99:Y99"/>
    <mergeCell ref="X100:Y100"/>
    <mergeCell ref="X101:Y101"/>
    <mergeCell ref="X102:Y102"/>
    <mergeCell ref="X103:Y103"/>
    <mergeCell ref="X104:Y104"/>
    <mergeCell ref="V104:W104"/>
    <mergeCell ref="V105:W105"/>
    <mergeCell ref="V100:W100"/>
    <mergeCell ref="V101:W101"/>
    <mergeCell ref="V102:W102"/>
    <mergeCell ref="V103:W103"/>
    <mergeCell ref="R101:S101"/>
    <mergeCell ref="T105:U105"/>
    <mergeCell ref="R102:S102"/>
    <mergeCell ref="R103:S103"/>
    <mergeCell ref="R104:S104"/>
    <mergeCell ref="T106:U106"/>
    <mergeCell ref="T96:U97"/>
    <mergeCell ref="T98:U98"/>
    <mergeCell ref="T99:U99"/>
    <mergeCell ref="T100:U100"/>
    <mergeCell ref="T101:U101"/>
    <mergeCell ref="T102:U102"/>
    <mergeCell ref="T103:U103"/>
    <mergeCell ref="T104:U104"/>
    <mergeCell ref="R105:S105"/>
    <mergeCell ref="R98:S98"/>
    <mergeCell ref="R99:S99"/>
    <mergeCell ref="R100:S100"/>
    <mergeCell ref="R106:S106"/>
    <mergeCell ref="G106:N106"/>
    <mergeCell ref="G102:N102"/>
    <mergeCell ref="O102:Q102"/>
    <mergeCell ref="C106:F106"/>
    <mergeCell ref="C105:F105"/>
    <mergeCell ref="AD100:AE100"/>
    <mergeCell ref="AD101:AE101"/>
    <mergeCell ref="G105:N105"/>
    <mergeCell ref="O100:Q100"/>
    <mergeCell ref="O101:Q101"/>
    <mergeCell ref="O103:Q103"/>
    <mergeCell ref="G100:N100"/>
    <mergeCell ref="G101:N101"/>
    <mergeCell ref="C100:F100"/>
    <mergeCell ref="C101:F101"/>
    <mergeCell ref="O106:Q106"/>
    <mergeCell ref="O105:Q105"/>
    <mergeCell ref="C104:F104"/>
    <mergeCell ref="C102:F102"/>
    <mergeCell ref="C103:F103"/>
    <mergeCell ref="G103:N103"/>
    <mergeCell ref="G104:N104"/>
    <mergeCell ref="O104:Q104"/>
    <mergeCell ref="V98:W98"/>
    <mergeCell ref="V99:W99"/>
    <mergeCell ref="C96:F97"/>
    <mergeCell ref="AH98:AI98"/>
    <mergeCell ref="AH99:AI99"/>
    <mergeCell ref="AD96:AE97"/>
    <mergeCell ref="AF96:AG97"/>
    <mergeCell ref="AD98:AE98"/>
    <mergeCell ref="O96:Q97"/>
    <mergeCell ref="Z98:AA98"/>
    <mergeCell ref="AD99:AE99"/>
    <mergeCell ref="G96:N97"/>
    <mergeCell ref="G98:N98"/>
    <mergeCell ref="G99:N99"/>
    <mergeCell ref="C98:F98"/>
    <mergeCell ref="C99:F99"/>
    <mergeCell ref="O98:Q98"/>
    <mergeCell ref="O99:Q99"/>
    <mergeCell ref="R96:S97"/>
    <mergeCell ref="V96:W97"/>
    <mergeCell ref="AG82:AI82"/>
    <mergeCell ref="AG83:AI83"/>
    <mergeCell ref="BB60:BE60"/>
    <mergeCell ref="AK70:AL70"/>
    <mergeCell ref="AZ63:BE63"/>
    <mergeCell ref="AK69:AL69"/>
    <mergeCell ref="AK71:AL71"/>
    <mergeCell ref="AK67:AL67"/>
    <mergeCell ref="AQ63:AV63"/>
    <mergeCell ref="AG75:AH75"/>
    <mergeCell ref="BB61:BE61"/>
    <mergeCell ref="AQ67:AV67"/>
    <mergeCell ref="AQ68:AV68"/>
    <mergeCell ref="AW64:AY64"/>
    <mergeCell ref="AQ64:AV64"/>
    <mergeCell ref="AQ65:AV65"/>
    <mergeCell ref="AW65:AY65"/>
    <mergeCell ref="AZ64:BE64"/>
    <mergeCell ref="AZ65:BE65"/>
    <mergeCell ref="AN79:AP79"/>
    <mergeCell ref="BA92:BE93"/>
    <mergeCell ref="AX86:AZ94"/>
    <mergeCell ref="AQ79:AV79"/>
    <mergeCell ref="BA90:BE91"/>
    <mergeCell ref="AT89:AU89"/>
    <mergeCell ref="AR89:AS89"/>
    <mergeCell ref="AZ79:BE79"/>
    <mergeCell ref="AW79:AY79"/>
    <mergeCell ref="AN82:AO82"/>
    <mergeCell ref="BF87:BG87"/>
    <mergeCell ref="BA87:BE87"/>
    <mergeCell ref="BA88:BE89"/>
    <mergeCell ref="BF88:BG89"/>
    <mergeCell ref="AL93:AP93"/>
    <mergeCell ref="BF92:BG93"/>
    <mergeCell ref="BF90:BG91"/>
    <mergeCell ref="AQ92:AR92"/>
    <mergeCell ref="AT88:AU88"/>
    <mergeCell ref="AC88:AD88"/>
    <mergeCell ref="AC89:AD89"/>
    <mergeCell ref="AC82:AD82"/>
    <mergeCell ref="AC83:AD83"/>
    <mergeCell ref="AC84:AD84"/>
    <mergeCell ref="AC85:AD85"/>
    <mergeCell ref="AC87:AD87"/>
    <mergeCell ref="AC86:AD86"/>
    <mergeCell ref="AA90:AB90"/>
    <mergeCell ref="AA91:AB91"/>
    <mergeCell ref="AA92:AB92"/>
    <mergeCell ref="AA93:AB93"/>
    <mergeCell ref="AA86:AB86"/>
    <mergeCell ref="AA87:AB87"/>
    <mergeCell ref="AA88:AB88"/>
    <mergeCell ref="AA89:AB89"/>
    <mergeCell ref="AA82:AB82"/>
    <mergeCell ref="AA83:AB83"/>
    <mergeCell ref="AA84:AB84"/>
    <mergeCell ref="AA85:AB85"/>
    <mergeCell ref="Y90:Z90"/>
    <mergeCell ref="Y91:Z91"/>
    <mergeCell ref="Y82:Z82"/>
    <mergeCell ref="Y83:Z83"/>
    <mergeCell ref="Y84:Z84"/>
    <mergeCell ref="Y85:Z85"/>
    <mergeCell ref="Y92:Z92"/>
    <mergeCell ref="Y93:Z93"/>
    <mergeCell ref="Y86:Z86"/>
    <mergeCell ref="Y87:Z87"/>
    <mergeCell ref="Y88:Z88"/>
    <mergeCell ref="Y89:Z89"/>
    <mergeCell ref="W90:X90"/>
    <mergeCell ref="W91:X91"/>
    <mergeCell ref="W92:X92"/>
    <mergeCell ref="W93:X93"/>
    <mergeCell ref="W86:X86"/>
    <mergeCell ref="W87:X87"/>
    <mergeCell ref="W88:X88"/>
    <mergeCell ref="W89:X89"/>
    <mergeCell ref="W83:X83"/>
    <mergeCell ref="W84:X84"/>
    <mergeCell ref="W85:X85"/>
    <mergeCell ref="W81:X81"/>
    <mergeCell ref="W82:X82"/>
    <mergeCell ref="U90:V90"/>
    <mergeCell ref="U82:V82"/>
    <mergeCell ref="U83:V83"/>
    <mergeCell ref="U84:V84"/>
    <mergeCell ref="U85:V85"/>
    <mergeCell ref="U91:V91"/>
    <mergeCell ref="U92:V92"/>
    <mergeCell ref="U93:V93"/>
    <mergeCell ref="U86:V86"/>
    <mergeCell ref="U87:V87"/>
    <mergeCell ref="U88:V88"/>
    <mergeCell ref="U89:V89"/>
    <mergeCell ref="S91:T91"/>
    <mergeCell ref="S92:T92"/>
    <mergeCell ref="S93:T93"/>
    <mergeCell ref="S86:T86"/>
    <mergeCell ref="S87:T87"/>
    <mergeCell ref="S88:T88"/>
    <mergeCell ref="S89:T89"/>
    <mergeCell ref="Q91:R91"/>
    <mergeCell ref="Q92:R92"/>
    <mergeCell ref="Q82:R82"/>
    <mergeCell ref="Q83:R83"/>
    <mergeCell ref="Q84:R84"/>
    <mergeCell ref="Q85:R85"/>
    <mergeCell ref="Q87:R87"/>
    <mergeCell ref="Q86:R86"/>
    <mergeCell ref="Q88:R88"/>
    <mergeCell ref="Q89:R89"/>
    <mergeCell ref="Q90:R90"/>
    <mergeCell ref="S82:T82"/>
    <mergeCell ref="S83:T83"/>
    <mergeCell ref="S84:T84"/>
    <mergeCell ref="S85:T85"/>
    <mergeCell ref="S90:T90"/>
    <mergeCell ref="Y80:Z80"/>
    <mergeCell ref="O90:P90"/>
    <mergeCell ref="O91:P91"/>
    <mergeCell ref="O92:P92"/>
    <mergeCell ref="O93:P93"/>
    <mergeCell ref="O86:P86"/>
    <mergeCell ref="O87:P87"/>
    <mergeCell ref="O88:P88"/>
    <mergeCell ref="O89:P89"/>
    <mergeCell ref="Q93:R93"/>
    <mergeCell ref="O85:P85"/>
    <mergeCell ref="AC81:AD81"/>
    <mergeCell ref="Q80:R80"/>
    <mergeCell ref="S80:T80"/>
    <mergeCell ref="U80:V80"/>
    <mergeCell ref="W80:X80"/>
    <mergeCell ref="S81:T81"/>
    <mergeCell ref="U81:V81"/>
    <mergeCell ref="Y81:Z81"/>
    <mergeCell ref="Q81:R81"/>
    <mergeCell ref="M93:N93"/>
    <mergeCell ref="J86:L86"/>
    <mergeCell ref="J87:L87"/>
    <mergeCell ref="J88:L88"/>
    <mergeCell ref="AA81:AB81"/>
    <mergeCell ref="M81:N81"/>
    <mergeCell ref="O81:P81"/>
    <mergeCell ref="O82:P82"/>
    <mergeCell ref="O83:P83"/>
    <mergeCell ref="O84:P84"/>
    <mergeCell ref="M88:N88"/>
    <mergeCell ref="M87:N87"/>
    <mergeCell ref="M89:N89"/>
    <mergeCell ref="M90:N90"/>
    <mergeCell ref="J93:L93"/>
    <mergeCell ref="J90:L90"/>
    <mergeCell ref="J91:L91"/>
    <mergeCell ref="J92:L92"/>
    <mergeCell ref="M91:N91"/>
    <mergeCell ref="M92:N92"/>
    <mergeCell ref="E93:I93"/>
    <mergeCell ref="J81:L81"/>
    <mergeCell ref="J82:L82"/>
    <mergeCell ref="J83:L83"/>
    <mergeCell ref="J84:L84"/>
    <mergeCell ref="J85:L85"/>
    <mergeCell ref="J89:L89"/>
    <mergeCell ref="E84:I84"/>
    <mergeCell ref="E87:I87"/>
    <mergeCell ref="E88:I88"/>
    <mergeCell ref="E91:I91"/>
    <mergeCell ref="E92:I92"/>
    <mergeCell ref="C91:D91"/>
    <mergeCell ref="C92:D92"/>
    <mergeCell ref="E80:I80"/>
    <mergeCell ref="E81:I81"/>
    <mergeCell ref="E82:I82"/>
    <mergeCell ref="E83:I83"/>
    <mergeCell ref="E85:I85"/>
    <mergeCell ref="E86:I86"/>
    <mergeCell ref="C89:D89"/>
    <mergeCell ref="C90:D90"/>
    <mergeCell ref="C83:D83"/>
    <mergeCell ref="C84:D84"/>
    <mergeCell ref="C85:D85"/>
    <mergeCell ref="E89:I89"/>
    <mergeCell ref="E90:I90"/>
    <mergeCell ref="C86:D86"/>
    <mergeCell ref="AY44:BA44"/>
    <mergeCell ref="AY45:BA45"/>
    <mergeCell ref="AY46:BA46"/>
    <mergeCell ref="AY47:BA47"/>
    <mergeCell ref="AY50:BA50"/>
    <mergeCell ref="C93:D93"/>
    <mergeCell ref="AY60:BA60"/>
    <mergeCell ref="AY61:BA61"/>
    <mergeCell ref="C87:D87"/>
    <mergeCell ref="C88:D88"/>
    <mergeCell ref="C80:D80"/>
    <mergeCell ref="C81:D81"/>
    <mergeCell ref="C82:D82"/>
    <mergeCell ref="AY51:BA51"/>
    <mergeCell ref="M82:N82"/>
    <mergeCell ref="M83:N83"/>
    <mergeCell ref="AY53:BA53"/>
    <mergeCell ref="AY54:BA54"/>
    <mergeCell ref="AY55:BA55"/>
    <mergeCell ref="S52:T52"/>
    <mergeCell ref="M84:N84"/>
    <mergeCell ref="M85:N85"/>
    <mergeCell ref="M86:N86"/>
    <mergeCell ref="AY38:BA38"/>
    <mergeCell ref="AJ38:AR38"/>
    <mergeCell ref="AJ40:AR40"/>
    <mergeCell ref="AY39:BA39"/>
    <mergeCell ref="AY40:BA40"/>
    <mergeCell ref="AY57:BA57"/>
    <mergeCell ref="AY52:BA52"/>
    <mergeCell ref="AD40:AI40"/>
    <mergeCell ref="AS38:AX38"/>
    <mergeCell ref="AS39:AX39"/>
    <mergeCell ref="AS40:AX40"/>
    <mergeCell ref="AD49:AI49"/>
    <mergeCell ref="AJ44:AR44"/>
    <mergeCell ref="AJ42:AR42"/>
    <mergeCell ref="AJ43:AR43"/>
    <mergeCell ref="AJ49:AR49"/>
    <mergeCell ref="AS44:AX44"/>
    <mergeCell ref="AJ50:AR50"/>
    <mergeCell ref="AJ51:AR51"/>
    <mergeCell ref="AA52:AB52"/>
    <mergeCell ref="AA50:AB50"/>
    <mergeCell ref="AD50:AI50"/>
    <mergeCell ref="AJ48:AR48"/>
    <mergeCell ref="AD52:AI52"/>
    <mergeCell ref="AA47:AB47"/>
    <mergeCell ref="AA48:AB48"/>
    <mergeCell ref="AA37:AB37"/>
    <mergeCell ref="Y39:Z39"/>
    <mergeCell ref="Y38:Z38"/>
    <mergeCell ref="Y52:Z52"/>
    <mergeCell ref="AA43:AB43"/>
    <mergeCell ref="AA44:AB44"/>
    <mergeCell ref="Y46:Z46"/>
    <mergeCell ref="Y36:Z36"/>
    <mergeCell ref="Y45:Z45"/>
    <mergeCell ref="Y43:Z43"/>
    <mergeCell ref="Y44:Z44"/>
    <mergeCell ref="W50:X50"/>
    <mergeCell ref="W49:X49"/>
    <mergeCell ref="Y50:Z50"/>
    <mergeCell ref="W41:X41"/>
    <mergeCell ref="W42:X42"/>
    <mergeCell ref="W43:X43"/>
    <mergeCell ref="W52:X52"/>
    <mergeCell ref="S48:T48"/>
    <mergeCell ref="U49:V49"/>
    <mergeCell ref="U48:V48"/>
    <mergeCell ref="S49:T49"/>
    <mergeCell ref="W53:X53"/>
    <mergeCell ref="W44:X44"/>
    <mergeCell ref="W45:X45"/>
    <mergeCell ref="W48:X48"/>
    <mergeCell ref="W51:X51"/>
    <mergeCell ref="W46:X46"/>
    <mergeCell ref="W47:X47"/>
    <mergeCell ref="U47:V47"/>
    <mergeCell ref="S51:T51"/>
    <mergeCell ref="W33:X33"/>
    <mergeCell ref="W34:X34"/>
    <mergeCell ref="W35:X35"/>
    <mergeCell ref="W36:X36"/>
    <mergeCell ref="W37:X37"/>
    <mergeCell ref="U34:V34"/>
    <mergeCell ref="U33:V33"/>
    <mergeCell ref="U35:V35"/>
    <mergeCell ref="Q53:R53"/>
    <mergeCell ref="Q44:R44"/>
    <mergeCell ref="Q45:R45"/>
    <mergeCell ref="Q46:R46"/>
    <mergeCell ref="Q49:R49"/>
    <mergeCell ref="Q47:R47"/>
    <mergeCell ref="Q52:R52"/>
    <mergeCell ref="Q48:R48"/>
    <mergeCell ref="S43:T43"/>
    <mergeCell ref="S38:T38"/>
    <mergeCell ref="Q50:R50"/>
    <mergeCell ref="Q51:R51"/>
    <mergeCell ref="S39:T39"/>
    <mergeCell ref="Q40:R40"/>
    <mergeCell ref="Q41:R41"/>
    <mergeCell ref="Q42:R42"/>
    <mergeCell ref="S47:T47"/>
    <mergeCell ref="S35:T35"/>
    <mergeCell ref="Q43:R43"/>
    <mergeCell ref="S37:T37"/>
    <mergeCell ref="S36:T36"/>
    <mergeCell ref="S40:T40"/>
    <mergeCell ref="S41:T41"/>
    <mergeCell ref="Q36:R36"/>
    <mergeCell ref="Q37:R37"/>
    <mergeCell ref="Q35:R35"/>
    <mergeCell ref="S42:T42"/>
    <mergeCell ref="M38:N38"/>
    <mergeCell ref="M37:N37"/>
    <mergeCell ref="Q39:R39"/>
    <mergeCell ref="U37:V37"/>
    <mergeCell ref="U36:V36"/>
    <mergeCell ref="Q38:R38"/>
    <mergeCell ref="U38:V38"/>
    <mergeCell ref="K35:L35"/>
    <mergeCell ref="K41:L41"/>
    <mergeCell ref="K42:L42"/>
    <mergeCell ref="K43:L43"/>
    <mergeCell ref="K44:L44"/>
    <mergeCell ref="O40:P40"/>
    <mergeCell ref="O35:P35"/>
    <mergeCell ref="O36:P36"/>
    <mergeCell ref="O43:P43"/>
    <mergeCell ref="M39:N39"/>
    <mergeCell ref="O31:P31"/>
    <mergeCell ref="K40:L40"/>
    <mergeCell ref="I36:J36"/>
    <mergeCell ref="M40:N40"/>
    <mergeCell ref="I34:J34"/>
    <mergeCell ref="I35:J35"/>
    <mergeCell ref="I33:J33"/>
    <mergeCell ref="M32:N32"/>
    <mergeCell ref="K34:L34"/>
    <mergeCell ref="O32:P32"/>
    <mergeCell ref="M57:N57"/>
    <mergeCell ref="D32:H32"/>
    <mergeCell ref="D33:H33"/>
    <mergeCell ref="D34:H34"/>
    <mergeCell ref="D35:H35"/>
    <mergeCell ref="D36:H36"/>
    <mergeCell ref="D37:H37"/>
    <mergeCell ref="I32:J32"/>
    <mergeCell ref="M53:N53"/>
    <mergeCell ref="M36:N36"/>
    <mergeCell ref="M48:N48"/>
    <mergeCell ref="M54:N54"/>
    <mergeCell ref="M55:N55"/>
    <mergeCell ref="M56:N56"/>
    <mergeCell ref="M49:N49"/>
    <mergeCell ref="M50:N50"/>
    <mergeCell ref="M51:N51"/>
    <mergeCell ref="M52:N52"/>
    <mergeCell ref="M45:N45"/>
    <mergeCell ref="M46:N46"/>
    <mergeCell ref="M47:N47"/>
    <mergeCell ref="M41:N41"/>
    <mergeCell ref="M42:N42"/>
    <mergeCell ref="M43:N43"/>
    <mergeCell ref="M44:N44"/>
    <mergeCell ref="K49:L49"/>
    <mergeCell ref="K56:L56"/>
    <mergeCell ref="K57:L57"/>
    <mergeCell ref="K50:L50"/>
    <mergeCell ref="K51:L51"/>
    <mergeCell ref="K52:L52"/>
    <mergeCell ref="K53:L53"/>
    <mergeCell ref="K54:L54"/>
    <mergeCell ref="I47:J47"/>
    <mergeCell ref="I48:J48"/>
    <mergeCell ref="I49:J49"/>
    <mergeCell ref="K55:L55"/>
    <mergeCell ref="K45:L45"/>
    <mergeCell ref="I55:J55"/>
    <mergeCell ref="I46:J46"/>
    <mergeCell ref="K46:L46"/>
    <mergeCell ref="K47:L47"/>
    <mergeCell ref="K48:L48"/>
    <mergeCell ref="I56:J56"/>
    <mergeCell ref="I57:J57"/>
    <mergeCell ref="I50:J50"/>
    <mergeCell ref="I51:J51"/>
    <mergeCell ref="I52:J52"/>
    <mergeCell ref="I53:J53"/>
    <mergeCell ref="I54:J54"/>
    <mergeCell ref="F57:H57"/>
    <mergeCell ref="I37:J37"/>
    <mergeCell ref="I38:J38"/>
    <mergeCell ref="I39:J39"/>
    <mergeCell ref="I40:J40"/>
    <mergeCell ref="I41:J41"/>
    <mergeCell ref="I42:J42"/>
    <mergeCell ref="I43:J43"/>
    <mergeCell ref="I44:J44"/>
    <mergeCell ref="I45:J45"/>
    <mergeCell ref="F53:H53"/>
    <mergeCell ref="F54:H54"/>
    <mergeCell ref="F55:H55"/>
    <mergeCell ref="F56:H56"/>
    <mergeCell ref="F49:H49"/>
    <mergeCell ref="F50:H50"/>
    <mergeCell ref="F51:H51"/>
    <mergeCell ref="F52:H52"/>
    <mergeCell ref="D56:E56"/>
    <mergeCell ref="D57:E57"/>
    <mergeCell ref="F41:H41"/>
    <mergeCell ref="F42:H42"/>
    <mergeCell ref="F43:H43"/>
    <mergeCell ref="F44:H44"/>
    <mergeCell ref="F45:H45"/>
    <mergeCell ref="F46:H46"/>
    <mergeCell ref="F47:H47"/>
    <mergeCell ref="F48:H48"/>
    <mergeCell ref="D52:E52"/>
    <mergeCell ref="D53:E53"/>
    <mergeCell ref="D54:E54"/>
    <mergeCell ref="D55:E55"/>
    <mergeCell ref="D48:E48"/>
    <mergeCell ref="D49:E49"/>
    <mergeCell ref="D50:E50"/>
    <mergeCell ref="D51:E51"/>
    <mergeCell ref="D44:E44"/>
    <mergeCell ref="D45:E45"/>
    <mergeCell ref="D46:E46"/>
    <mergeCell ref="D47:E47"/>
    <mergeCell ref="D38:E38"/>
    <mergeCell ref="D42:E42"/>
    <mergeCell ref="D43:E43"/>
    <mergeCell ref="D40:E40"/>
    <mergeCell ref="D39:E39"/>
    <mergeCell ref="D41:E41"/>
    <mergeCell ref="F38:H38"/>
    <mergeCell ref="F39:H39"/>
    <mergeCell ref="F40:H40"/>
    <mergeCell ref="AE11:AJ11"/>
    <mergeCell ref="AE14:AJ14"/>
    <mergeCell ref="K37:L37"/>
    <mergeCell ref="K38:L38"/>
    <mergeCell ref="K39:L39"/>
    <mergeCell ref="D30:H31"/>
    <mergeCell ref="M35:N35"/>
    <mergeCell ref="U31:V31"/>
    <mergeCell ref="K32:L32"/>
    <mergeCell ref="Z18:AB18"/>
    <mergeCell ref="T22:U22"/>
    <mergeCell ref="T23:U23"/>
    <mergeCell ref="V20:W20"/>
    <mergeCell ref="V23:W23"/>
    <mergeCell ref="V19:W19"/>
    <mergeCell ref="V21:W21"/>
    <mergeCell ref="S31:T31"/>
    <mergeCell ref="Y31:Z31"/>
    <mergeCell ref="N19:O19"/>
    <mergeCell ref="P21:Q21"/>
    <mergeCell ref="X22:Y22"/>
    <mergeCell ref="X23:Y23"/>
    <mergeCell ref="R23:S23"/>
    <mergeCell ref="Z22:AB22"/>
    <mergeCell ref="X26:Z26"/>
    <mergeCell ref="W31:X31"/>
    <mergeCell ref="O26:Q26"/>
    <mergeCell ref="V16:W17"/>
    <mergeCell ref="X16:Y17"/>
    <mergeCell ref="X18:Y18"/>
    <mergeCell ref="V18:W18"/>
    <mergeCell ref="Z21:AB21"/>
    <mergeCell ref="Z20:AB20"/>
    <mergeCell ref="X19:Y19"/>
    <mergeCell ref="X20:Y20"/>
    <mergeCell ref="AA33:AB33"/>
    <mergeCell ref="AA34:AB34"/>
    <mergeCell ref="AG13:AJ13"/>
    <mergeCell ref="O37:P37"/>
    <mergeCell ref="Y34:Z34"/>
    <mergeCell ref="Y33:Z33"/>
    <mergeCell ref="Y32:Z32"/>
    <mergeCell ref="U32:V32"/>
    <mergeCell ref="Z16:AB17"/>
    <mergeCell ref="X21:Y21"/>
    <mergeCell ref="Y35:Z35"/>
    <mergeCell ref="W32:X32"/>
    <mergeCell ref="AA14:AD14"/>
    <mergeCell ref="AE15:AF15"/>
    <mergeCell ref="AA13:AD13"/>
    <mergeCell ref="AE13:AF13"/>
    <mergeCell ref="AE33:AJ33"/>
    <mergeCell ref="AD18:AE18"/>
    <mergeCell ref="AA35:AB35"/>
    <mergeCell ref="AA32:AB32"/>
    <mergeCell ref="AW4:BA4"/>
    <mergeCell ref="AW5:BA5"/>
    <mergeCell ref="AW6:BA6"/>
    <mergeCell ref="AW7:BA7"/>
    <mergeCell ref="AW8:BA8"/>
    <mergeCell ref="AW9:BA9"/>
    <mergeCell ref="AR9:AV9"/>
    <mergeCell ref="AM4:AQ4"/>
    <mergeCell ref="AM5:AQ5"/>
    <mergeCell ref="AM6:AQ6"/>
    <mergeCell ref="AM7:AQ7"/>
    <mergeCell ref="AR4:AV4"/>
    <mergeCell ref="AR5:AV5"/>
    <mergeCell ref="AM24:AR24"/>
    <mergeCell ref="AS14:AU14"/>
    <mergeCell ref="AS11:AU11"/>
    <mergeCell ref="AS12:AU12"/>
    <mergeCell ref="AS15:AU15"/>
    <mergeCell ref="AS16:AU16"/>
    <mergeCell ref="AN16:AR16"/>
    <mergeCell ref="AN15:AR15"/>
    <mergeCell ref="AN14:AR14"/>
    <mergeCell ref="AS21:AU21"/>
    <mergeCell ref="AS18:AU18"/>
    <mergeCell ref="AR6:AV6"/>
    <mergeCell ref="AR7:AV7"/>
    <mergeCell ref="AS13:AU13"/>
    <mergeCell ref="AR8:AV8"/>
    <mergeCell ref="AN11:AR11"/>
    <mergeCell ref="AN12:AR12"/>
    <mergeCell ref="AN13:AR13"/>
    <mergeCell ref="AM8:AQ8"/>
    <mergeCell ref="AM9:AQ9"/>
    <mergeCell ref="AS23:AU23"/>
    <mergeCell ref="AS19:AU19"/>
    <mergeCell ref="AS20:AU20"/>
    <mergeCell ref="AM19:AR20"/>
    <mergeCell ref="AS22:AU22"/>
    <mergeCell ref="AM21:AR21"/>
    <mergeCell ref="AM22:AR22"/>
    <mergeCell ref="AM23:AR23"/>
    <mergeCell ref="AS24:AU24"/>
    <mergeCell ref="AA31:AB31"/>
    <mergeCell ref="W30:AB30"/>
    <mergeCell ref="Z23:AB23"/>
    <mergeCell ref="AM28:AR28"/>
    <mergeCell ref="AS25:AU25"/>
    <mergeCell ref="AS26:AU26"/>
    <mergeCell ref="AK31:AO31"/>
    <mergeCell ref="AK30:AO30"/>
    <mergeCell ref="AS27:AU27"/>
    <mergeCell ref="AJ19:AL19"/>
    <mergeCell ref="AJ20:AL20"/>
    <mergeCell ref="N23:O23"/>
    <mergeCell ref="I22:K22"/>
    <mergeCell ref="I23:K23"/>
    <mergeCell ref="N21:O21"/>
    <mergeCell ref="I21:K21"/>
    <mergeCell ref="V22:W22"/>
    <mergeCell ref="L23:M23"/>
    <mergeCell ref="N20:O20"/>
    <mergeCell ref="Q30:V30"/>
    <mergeCell ref="AD19:AE19"/>
    <mergeCell ref="AD20:AE20"/>
    <mergeCell ref="X25:Z25"/>
    <mergeCell ref="R22:S22"/>
    <mergeCell ref="T21:U21"/>
    <mergeCell ref="R21:S21"/>
    <mergeCell ref="R20:S20"/>
    <mergeCell ref="P20:Q20"/>
    <mergeCell ref="T19:U19"/>
    <mergeCell ref="Q54:R54"/>
    <mergeCell ref="Q55:R55"/>
    <mergeCell ref="Z19:AB19"/>
    <mergeCell ref="S33:T33"/>
    <mergeCell ref="Q32:R32"/>
    <mergeCell ref="Q33:R33"/>
    <mergeCell ref="U25:W25"/>
    <mergeCell ref="R26:T26"/>
    <mergeCell ref="U26:W26"/>
    <mergeCell ref="O25:Q25"/>
    <mergeCell ref="O57:P57"/>
    <mergeCell ref="O56:P56"/>
    <mergeCell ref="O54:P54"/>
    <mergeCell ref="O55:P55"/>
    <mergeCell ref="O48:P48"/>
    <mergeCell ref="O50:P50"/>
    <mergeCell ref="O51:P51"/>
    <mergeCell ref="O52:P52"/>
    <mergeCell ref="O33:P33"/>
    <mergeCell ref="S32:T32"/>
    <mergeCell ref="O53:P53"/>
    <mergeCell ref="O45:P45"/>
    <mergeCell ref="O46:P46"/>
    <mergeCell ref="O47:P47"/>
    <mergeCell ref="O39:P39"/>
    <mergeCell ref="O49:P49"/>
    <mergeCell ref="O38:P38"/>
    <mergeCell ref="O44:P44"/>
    <mergeCell ref="Q31:R31"/>
    <mergeCell ref="AA56:AB56"/>
    <mergeCell ref="Y55:Z55"/>
    <mergeCell ref="P23:Q23"/>
    <mergeCell ref="Q34:R34"/>
    <mergeCell ref="S34:T34"/>
    <mergeCell ref="O34:P34"/>
    <mergeCell ref="O41:P41"/>
    <mergeCell ref="O42:P42"/>
    <mergeCell ref="Y56:Z56"/>
    <mergeCell ref="U54:V54"/>
    <mergeCell ref="U53:V53"/>
    <mergeCell ref="U41:V41"/>
    <mergeCell ref="U42:V42"/>
    <mergeCell ref="U43:V43"/>
    <mergeCell ref="U51:V51"/>
    <mergeCell ref="U50:V50"/>
    <mergeCell ref="U44:V44"/>
    <mergeCell ref="U45:V45"/>
    <mergeCell ref="U46:V46"/>
    <mergeCell ref="AD36:AI37"/>
    <mergeCell ref="AA38:AB38"/>
    <mergeCell ref="U40:V40"/>
    <mergeCell ref="W38:X38"/>
    <mergeCell ref="W39:X39"/>
    <mergeCell ref="Y40:Z40"/>
    <mergeCell ref="Y37:Z37"/>
    <mergeCell ref="U39:V39"/>
    <mergeCell ref="W40:X40"/>
    <mergeCell ref="AA36:AB36"/>
    <mergeCell ref="E23:H23"/>
    <mergeCell ref="W54:X54"/>
    <mergeCell ref="S54:T54"/>
    <mergeCell ref="S53:T53"/>
    <mergeCell ref="S44:T44"/>
    <mergeCell ref="S45:T45"/>
    <mergeCell ref="S46:T46"/>
    <mergeCell ref="S50:T50"/>
    <mergeCell ref="R25:T25"/>
    <mergeCell ref="U52:V52"/>
    <mergeCell ref="W57:X57"/>
    <mergeCell ref="W55:X55"/>
    <mergeCell ref="W56:X56"/>
    <mergeCell ref="Q57:R57"/>
    <mergeCell ref="U57:V57"/>
    <mergeCell ref="U55:V55"/>
    <mergeCell ref="S57:T57"/>
    <mergeCell ref="S55:T55"/>
    <mergeCell ref="S56:T56"/>
    <mergeCell ref="Q56:R56"/>
    <mergeCell ref="G25:K26"/>
    <mergeCell ref="L25:N25"/>
    <mergeCell ref="L26:N26"/>
    <mergeCell ref="K36:L36"/>
    <mergeCell ref="M31:N31"/>
    <mergeCell ref="K33:L33"/>
    <mergeCell ref="M33:N33"/>
    <mergeCell ref="I30:J31"/>
    <mergeCell ref="M34:N34"/>
    <mergeCell ref="K30:L31"/>
    <mergeCell ref="M30:P30"/>
    <mergeCell ref="H3:W3"/>
    <mergeCell ref="H6:W6"/>
    <mergeCell ref="H8:W8"/>
    <mergeCell ref="H12:W12"/>
    <mergeCell ref="AF3:AI3"/>
    <mergeCell ref="AF4:AI4"/>
    <mergeCell ref="AA3:AE3"/>
    <mergeCell ref="AA4:AE4"/>
    <mergeCell ref="T16:U17"/>
    <mergeCell ref="C3:G3"/>
    <mergeCell ref="C5:G5"/>
    <mergeCell ref="C7:G7"/>
    <mergeCell ref="H7:W7"/>
    <mergeCell ref="H5:W5"/>
    <mergeCell ref="C4:G4"/>
    <mergeCell ref="H4:W4"/>
    <mergeCell ref="Z7:AD7"/>
    <mergeCell ref="AE6:AJ6"/>
    <mergeCell ref="Z6:AD6"/>
    <mergeCell ref="AE7:AJ7"/>
    <mergeCell ref="AA15:AD15"/>
    <mergeCell ref="AG15:AH15"/>
    <mergeCell ref="AA12:AD12"/>
    <mergeCell ref="AE12:AJ12"/>
    <mergeCell ref="AI15:AJ15"/>
    <mergeCell ref="AA11:AD11"/>
    <mergeCell ref="C8:G8"/>
    <mergeCell ref="C9:G9"/>
    <mergeCell ref="C10:G10"/>
    <mergeCell ref="C11:G11"/>
    <mergeCell ref="C15:G15"/>
    <mergeCell ref="H15:I15"/>
    <mergeCell ref="C12:G12"/>
    <mergeCell ref="H11:W11"/>
    <mergeCell ref="P22:Q22"/>
    <mergeCell ref="N22:O22"/>
    <mergeCell ref="L20:M20"/>
    <mergeCell ref="L21:M21"/>
    <mergeCell ref="L22:M22"/>
    <mergeCell ref="P18:Q18"/>
    <mergeCell ref="T18:U18"/>
    <mergeCell ref="AE8:AJ8"/>
    <mergeCell ref="AE9:AJ9"/>
    <mergeCell ref="H9:W9"/>
    <mergeCell ref="H10:W10"/>
    <mergeCell ref="Z8:AD8"/>
    <mergeCell ref="P16:Q17"/>
    <mergeCell ref="R16:S17"/>
    <mergeCell ref="AD16:AE17"/>
    <mergeCell ref="H13:W13"/>
    <mergeCell ref="Z9:AD9"/>
    <mergeCell ref="E21:H21"/>
    <mergeCell ref="N16:O17"/>
    <mergeCell ref="P19:Q19"/>
    <mergeCell ref="N18:O18"/>
    <mergeCell ref="C13:G13"/>
    <mergeCell ref="T20:U20"/>
    <mergeCell ref="R19:S19"/>
    <mergeCell ref="I18:K18"/>
    <mergeCell ref="R18:S18"/>
    <mergeCell ref="E22:H22"/>
    <mergeCell ref="I16:K17"/>
    <mergeCell ref="L16:M17"/>
    <mergeCell ref="E18:H18"/>
    <mergeCell ref="E19:H19"/>
    <mergeCell ref="E20:H20"/>
    <mergeCell ref="I20:K20"/>
    <mergeCell ref="I19:K19"/>
    <mergeCell ref="L18:M18"/>
    <mergeCell ref="L19:M19"/>
    <mergeCell ref="AS45:AX45"/>
    <mergeCell ref="AS46:AX46"/>
    <mergeCell ref="AS47:AX47"/>
    <mergeCell ref="AS49:AX49"/>
    <mergeCell ref="AS50:AX50"/>
    <mergeCell ref="AS48:AX48"/>
    <mergeCell ref="M63:N63"/>
    <mergeCell ref="M61:N61"/>
    <mergeCell ref="M62:N62"/>
    <mergeCell ref="U61:V61"/>
    <mergeCell ref="U63:V63"/>
    <mergeCell ref="S62:T62"/>
    <mergeCell ref="U62:V62"/>
    <mergeCell ref="U56:V56"/>
    <mergeCell ref="S61:T61"/>
    <mergeCell ref="AK33:AQ33"/>
    <mergeCell ref="AY48:BA48"/>
    <mergeCell ref="AY49:BA49"/>
    <mergeCell ref="AV35:AY35"/>
    <mergeCell ref="AJ36:AR37"/>
    <mergeCell ref="AJ39:AR39"/>
    <mergeCell ref="AS41:AX41"/>
    <mergeCell ref="AS42:AX42"/>
    <mergeCell ref="AS43:AX43"/>
    <mergeCell ref="AS36:AX37"/>
    <mergeCell ref="Q65:R65"/>
    <mergeCell ref="Q64:R64"/>
    <mergeCell ref="Z62:AA62"/>
    <mergeCell ref="Z63:AA63"/>
    <mergeCell ref="Z64:AA64"/>
    <mergeCell ref="Z65:AA65"/>
    <mergeCell ref="S65:T65"/>
    <mergeCell ref="Z61:AA61"/>
    <mergeCell ref="O64:P64"/>
    <mergeCell ref="O61:P61"/>
    <mergeCell ref="O62:P62"/>
    <mergeCell ref="O63:P63"/>
    <mergeCell ref="S63:T63"/>
    <mergeCell ref="D61:I61"/>
    <mergeCell ref="J61:L61"/>
    <mergeCell ref="J63:L63"/>
    <mergeCell ref="J62:L62"/>
    <mergeCell ref="D62:I62"/>
    <mergeCell ref="D63:I63"/>
    <mergeCell ref="Q61:R61"/>
    <mergeCell ref="Q62:R62"/>
    <mergeCell ref="Q63:R63"/>
    <mergeCell ref="AN69:AP69"/>
    <mergeCell ref="S64:T64"/>
    <mergeCell ref="U65:V65"/>
    <mergeCell ref="AG67:AH67"/>
    <mergeCell ref="AE68:AF68"/>
    <mergeCell ref="AI67:AJ67"/>
    <mergeCell ref="Y67:Z67"/>
    <mergeCell ref="AA69:AB69"/>
    <mergeCell ref="AZ66:BE66"/>
    <mergeCell ref="AZ72:BE72"/>
    <mergeCell ref="AZ71:BE71"/>
    <mergeCell ref="AZ67:BE67"/>
    <mergeCell ref="AZ68:BE68"/>
    <mergeCell ref="AZ69:BE69"/>
    <mergeCell ref="AZ70:BE70"/>
    <mergeCell ref="AN70:AP70"/>
    <mergeCell ref="AW84:AY84"/>
    <mergeCell ref="AZ76:BE76"/>
    <mergeCell ref="AZ77:BE77"/>
    <mergeCell ref="AZ78:BE78"/>
    <mergeCell ref="AW82:AY83"/>
    <mergeCell ref="AQ78:AV78"/>
    <mergeCell ref="AZ73:BE73"/>
    <mergeCell ref="AQ72:AV72"/>
    <mergeCell ref="AQ73:AV73"/>
    <mergeCell ref="AQ71:AV71"/>
    <mergeCell ref="AQ70:AV70"/>
    <mergeCell ref="AW78:AY78"/>
    <mergeCell ref="AQ75:AV75"/>
    <mergeCell ref="AW77:AY77"/>
    <mergeCell ref="AQ77:AV77"/>
    <mergeCell ref="AZ75:BE75"/>
    <mergeCell ref="AK73:AL73"/>
    <mergeCell ref="AJ84:AK84"/>
    <mergeCell ref="AL84:AM84"/>
    <mergeCell ref="AN84:AO84"/>
    <mergeCell ref="AK76:AL76"/>
    <mergeCell ref="AK77:AL77"/>
    <mergeCell ref="AJ79:AL80"/>
    <mergeCell ref="AI76:AJ76"/>
    <mergeCell ref="AG79:AI80"/>
    <mergeCell ref="AJ82:AK82"/>
    <mergeCell ref="AJ83:AK83"/>
    <mergeCell ref="AR88:AS88"/>
    <mergeCell ref="AP88:AQ88"/>
    <mergeCell ref="AQ84:AU84"/>
    <mergeCell ref="AN88:AO88"/>
    <mergeCell ref="AN86:AU86"/>
    <mergeCell ref="AQ82:AU83"/>
    <mergeCell ref="AN83:AO83"/>
    <mergeCell ref="AL82:AM82"/>
    <mergeCell ref="AL83:AM83"/>
    <mergeCell ref="AG77:AH77"/>
    <mergeCell ref="AI77:AJ77"/>
    <mergeCell ref="AO92:AP92"/>
    <mergeCell ref="AH86:AM86"/>
    <mergeCell ref="AN89:AO89"/>
    <mergeCell ref="AN90:AO90"/>
    <mergeCell ref="AH88:AM90"/>
    <mergeCell ref="AP89:AQ89"/>
    <mergeCell ref="AP90:AQ90"/>
    <mergeCell ref="AN77:AP77"/>
    <mergeCell ref="S67:T67"/>
    <mergeCell ref="W68:X68"/>
    <mergeCell ref="S68:T68"/>
    <mergeCell ref="AC72:AD72"/>
    <mergeCell ref="AC68:AD68"/>
    <mergeCell ref="AC67:AD67"/>
    <mergeCell ref="AA67:AB67"/>
    <mergeCell ref="AC71:AD71"/>
    <mergeCell ref="AC69:AD69"/>
    <mergeCell ref="AC70:AD70"/>
    <mergeCell ref="U72:V72"/>
    <mergeCell ref="U73:V73"/>
    <mergeCell ref="AA72:AB72"/>
    <mergeCell ref="AA73:AB73"/>
    <mergeCell ref="W72:X72"/>
    <mergeCell ref="W70:X70"/>
    <mergeCell ref="AA71:AB71"/>
    <mergeCell ref="W73:X73"/>
    <mergeCell ref="U71:V71"/>
    <mergeCell ref="AA76:AB76"/>
    <mergeCell ref="Y68:Z68"/>
    <mergeCell ref="Y69:Z69"/>
    <mergeCell ref="Y70:Z70"/>
    <mergeCell ref="Y72:Z72"/>
    <mergeCell ref="Y73:Z73"/>
    <mergeCell ref="Y74:Z74"/>
    <mergeCell ref="Y76:Z76"/>
    <mergeCell ref="AA70:AB70"/>
    <mergeCell ref="AA74:AB74"/>
    <mergeCell ref="W76:X76"/>
    <mergeCell ref="W77:X77"/>
    <mergeCell ref="U74:V74"/>
    <mergeCell ref="U77:V77"/>
    <mergeCell ref="U76:V76"/>
    <mergeCell ref="U75:V75"/>
    <mergeCell ref="W75:X75"/>
    <mergeCell ref="S73:T73"/>
    <mergeCell ref="S74:T74"/>
    <mergeCell ref="S76:T76"/>
    <mergeCell ref="S75:T75"/>
    <mergeCell ref="F78:I78"/>
    <mergeCell ref="AR33:AY33"/>
    <mergeCell ref="U68:V68"/>
    <mergeCell ref="U69:V69"/>
    <mergeCell ref="U70:V70"/>
    <mergeCell ref="W69:X69"/>
    <mergeCell ref="F77:I77"/>
    <mergeCell ref="N76:R76"/>
    <mergeCell ref="N74:R74"/>
    <mergeCell ref="N73:R73"/>
    <mergeCell ref="F69:I69"/>
    <mergeCell ref="J69:M69"/>
    <mergeCell ref="N70:R70"/>
    <mergeCell ref="N72:R72"/>
    <mergeCell ref="F70:I70"/>
    <mergeCell ref="H72:K72"/>
    <mergeCell ref="J70:K70"/>
    <mergeCell ref="F73:I73"/>
    <mergeCell ref="C72:G72"/>
    <mergeCell ref="H76:K76"/>
    <mergeCell ref="J74:K74"/>
    <mergeCell ref="L76:M76"/>
    <mergeCell ref="F74:I74"/>
    <mergeCell ref="C76:G76"/>
    <mergeCell ref="J73:M73"/>
    <mergeCell ref="AB65:AD65"/>
    <mergeCell ref="AB63:AD63"/>
    <mergeCell ref="AA39:AB39"/>
    <mergeCell ref="AA40:AB40"/>
    <mergeCell ref="Y41:Z41"/>
    <mergeCell ref="Y42:Z42"/>
    <mergeCell ref="AA42:AB42"/>
    <mergeCell ref="Y54:Z54"/>
    <mergeCell ref="AA55:AB55"/>
    <mergeCell ref="Y53:Z53"/>
    <mergeCell ref="N69:R69"/>
    <mergeCell ref="AA41:AB41"/>
    <mergeCell ref="AP31:AT31"/>
    <mergeCell ref="AU31:AY31"/>
    <mergeCell ref="AM26:AR26"/>
    <mergeCell ref="L72:M72"/>
    <mergeCell ref="S69:T69"/>
    <mergeCell ref="S70:T70"/>
    <mergeCell ref="S72:T72"/>
    <mergeCell ref="S71:T71"/>
    <mergeCell ref="W67:X67"/>
    <mergeCell ref="U67:V67"/>
    <mergeCell ref="AG26:AK26"/>
    <mergeCell ref="AP30:AT30"/>
    <mergeCell ref="AS28:AU28"/>
    <mergeCell ref="AM27:AR27"/>
    <mergeCell ref="AE30:AJ32"/>
    <mergeCell ref="AD26:AF26"/>
    <mergeCell ref="AU32:AY32"/>
    <mergeCell ref="AW27:AZ27"/>
    <mergeCell ref="AW28:AZ28"/>
    <mergeCell ref="AU30:AY30"/>
    <mergeCell ref="AM25:AR25"/>
    <mergeCell ref="AG18:AH18"/>
    <mergeCell ref="AD22:AE22"/>
    <mergeCell ref="AD23:AE23"/>
    <mergeCell ref="AI18:AJ18"/>
    <mergeCell ref="AJ21:AL21"/>
    <mergeCell ref="AD21:AE21"/>
    <mergeCell ref="AM18:AR18"/>
    <mergeCell ref="AG64:AH64"/>
    <mergeCell ref="Y49:Z49"/>
    <mergeCell ref="AA51:AB51"/>
    <mergeCell ref="Y47:Z47"/>
    <mergeCell ref="Y48:Z48"/>
    <mergeCell ref="Y51:Z51"/>
    <mergeCell ref="AA53:AB53"/>
    <mergeCell ref="AA54:AB54"/>
    <mergeCell ref="AA49:AB49"/>
    <mergeCell ref="W63:Y63"/>
    <mergeCell ref="AG65:AH65"/>
    <mergeCell ref="AJ53:AR53"/>
    <mergeCell ref="AJ54:AR54"/>
    <mergeCell ref="AJ55:AR55"/>
    <mergeCell ref="AJ56:AR56"/>
    <mergeCell ref="AN63:AP63"/>
    <mergeCell ref="AN64:AP64"/>
    <mergeCell ref="AN65:AP65"/>
    <mergeCell ref="AD55:AI55"/>
    <mergeCell ref="AD54:AI54"/>
    <mergeCell ref="AN71:AP71"/>
    <mergeCell ref="AN72:AP72"/>
    <mergeCell ref="AW66:AY66"/>
    <mergeCell ref="AW67:AY67"/>
    <mergeCell ref="AW68:AY68"/>
    <mergeCell ref="AW69:AY69"/>
    <mergeCell ref="AW71:AY71"/>
    <mergeCell ref="AQ66:AV66"/>
    <mergeCell ref="AQ69:AV69"/>
    <mergeCell ref="AW72:AY72"/>
    <mergeCell ref="AN73:AP73"/>
    <mergeCell ref="AN74:AP74"/>
    <mergeCell ref="AN75:AP75"/>
    <mergeCell ref="AN76:AP76"/>
    <mergeCell ref="AQ74:AV74"/>
    <mergeCell ref="AQ76:AV76"/>
    <mergeCell ref="AS54:AX54"/>
    <mergeCell ref="AW63:AY63"/>
    <mergeCell ref="AW73:AY73"/>
    <mergeCell ref="AW74:AY74"/>
    <mergeCell ref="AW75:AY75"/>
    <mergeCell ref="AW76:AY76"/>
    <mergeCell ref="AW70:AY70"/>
    <mergeCell ref="AY56:BA56"/>
    <mergeCell ref="AT61:AX61"/>
    <mergeCell ref="AT60:AX60"/>
    <mergeCell ref="AY36:BB37"/>
    <mergeCell ref="AK13:AL13"/>
    <mergeCell ref="U64:V64"/>
    <mergeCell ref="BA30:BE30"/>
    <mergeCell ref="AS55:AX55"/>
    <mergeCell ref="AS56:AX56"/>
    <mergeCell ref="AS57:AX57"/>
    <mergeCell ref="AS51:AX51"/>
    <mergeCell ref="AS52:AX52"/>
    <mergeCell ref="AS53:AX53"/>
  </mergeCells>
  <conditionalFormatting sqref="V98:V103">
    <cfRule type="cellIs" priority="1" dxfId="74" operator="equal" stopIfTrue="1">
      <formula>""</formula>
    </cfRule>
    <cfRule type="cellIs" priority="2" dxfId="72" operator="notEqual" stopIfTrue="1">
      <formula>""</formula>
    </cfRule>
  </conditionalFormatting>
  <conditionalFormatting sqref="T98:T103">
    <cfRule type="cellIs" priority="3" dxfId="74" operator="equal" stopIfTrue="1">
      <formula>""</formula>
    </cfRule>
    <cfRule type="cellIs" priority="4" dxfId="73" operator="notEqual" stopIfTrue="1">
      <formula>""</formula>
    </cfRule>
  </conditionalFormatting>
  <conditionalFormatting sqref="O64">
    <cfRule type="cellIs" priority="5" dxfId="75" operator="notEqual" stopIfTrue="1">
      <formula>""</formula>
    </cfRule>
  </conditionalFormatting>
  <conditionalFormatting sqref="AI18">
    <cfRule type="cellIs" priority="6" dxfId="77" operator="lessThan" stopIfTrue="1">
      <formula>0</formula>
    </cfRule>
    <cfRule type="cellIs" priority="7" dxfId="78" operator="equal" stopIfTrue="1">
      <formula>0</formula>
    </cfRule>
    <cfRule type="cellIs" priority="8" dxfId="79" operator="greaterThan" stopIfTrue="1">
      <formula>0</formula>
    </cfRule>
  </conditionalFormatting>
  <printOptions/>
  <pageMargins left="0.7874015748031497" right="0.57" top="0.55" bottom="0.71" header="0.3" footer="0.55"/>
  <pageSetup horizontalDpi="200" verticalDpi="200" orientation="portrait" paperSize="9" scale="80" r:id="rId3"/>
  <headerFooter alignWithMargins="0">
    <oddHeader>&amp;L&amp;F&amp;C&amp;A</oddHeader>
  </headerFooter>
  <legacyDrawing r:id="rId2"/>
</worksheet>
</file>

<file path=xl/worksheets/sheet3.xml><?xml version="1.0" encoding="utf-8"?>
<worksheet xmlns="http://schemas.openxmlformats.org/spreadsheetml/2006/main" xmlns:r="http://schemas.openxmlformats.org/officeDocument/2006/relationships">
  <dimension ref="A2:BD75"/>
  <sheetViews>
    <sheetView zoomScalePageLayoutView="0" workbookViewId="0" topLeftCell="A1">
      <selection activeCell="G12" sqref="G12"/>
    </sheetView>
  </sheetViews>
  <sheetFormatPr defaultColWidth="9.00390625" defaultRowHeight="13.5" outlineLevelCol="3"/>
  <cols>
    <col min="1" max="1" width="4.75390625" style="29" customWidth="1" outlineLevel="3"/>
    <col min="2" max="2" width="16.50390625" style="29" customWidth="1" outlineLevel="3"/>
    <col min="3" max="3" width="1.4921875" style="30" customWidth="1" outlineLevel="3"/>
    <col min="4" max="4" width="4.75390625" style="29" customWidth="1" outlineLevel="3"/>
    <col min="5" max="16" width="5.00390625" style="29" customWidth="1" outlineLevel="3"/>
    <col min="17" max="56" width="2.125" style="29" customWidth="1" outlineLevel="3"/>
    <col min="57" max="57" width="9.00390625" style="29" customWidth="1" outlineLevel="3"/>
    <col min="58" max="16384" width="9.00390625" style="29" customWidth="1"/>
  </cols>
  <sheetData>
    <row r="1" ht="4.5" customHeight="1"/>
    <row r="2" spans="2:17" ht="11.25">
      <c r="B2" s="1009"/>
      <c r="C2" s="1009"/>
      <c r="E2" s="31" t="s">
        <v>548</v>
      </c>
      <c r="F2" s="32" t="s">
        <v>550</v>
      </c>
      <c r="G2" s="33" t="s">
        <v>552</v>
      </c>
      <c r="H2" s="34" t="s">
        <v>554</v>
      </c>
      <c r="I2" s="35" t="s">
        <v>559</v>
      </c>
      <c r="J2" s="36" t="s">
        <v>557</v>
      </c>
      <c r="Q2" s="37"/>
    </row>
    <row r="3" spans="2:10" ht="12" customHeight="1" thickBot="1">
      <c r="B3" s="1008"/>
      <c r="C3" s="1008"/>
      <c r="E3" s="38">
        <f>'能力'!L18</f>
        <v>7</v>
      </c>
      <c r="F3" s="38">
        <f>'能力'!L19</f>
        <v>0</v>
      </c>
      <c r="G3" s="38">
        <f>'能力'!L20</f>
        <v>3</v>
      </c>
      <c r="H3" s="38">
        <f>'能力'!L21</f>
        <v>0</v>
      </c>
      <c r="I3" s="38">
        <f>'能力'!L22</f>
        <v>0</v>
      </c>
      <c r="J3" s="38">
        <f>'能力'!L23</f>
        <v>0</v>
      </c>
    </row>
    <row r="4" spans="2:4" ht="12" customHeight="1" thickBot="1">
      <c r="B4" s="1007" t="s">
        <v>63</v>
      </c>
      <c r="C4" s="955"/>
      <c r="D4" s="39">
        <f>'能力'!I32</f>
        <v>11</v>
      </c>
    </row>
    <row r="5" spans="2:11" ht="12" customHeight="1" thickBot="1">
      <c r="B5" s="1007" t="s">
        <v>64</v>
      </c>
      <c r="C5" s="956"/>
      <c r="D5" s="39">
        <f>SUM(Q7:BD7)</f>
        <v>55</v>
      </c>
      <c r="E5" s="1010" t="s">
        <v>65</v>
      </c>
      <c r="F5" s="40" t="s">
        <v>66</v>
      </c>
      <c r="G5" s="40" t="s">
        <v>67</v>
      </c>
      <c r="H5" s="41" t="s">
        <v>68</v>
      </c>
      <c r="I5" s="41" t="s">
        <v>69</v>
      </c>
      <c r="J5" s="42" t="s">
        <v>70</v>
      </c>
      <c r="K5" s="40">
        <v>20</v>
      </c>
    </row>
    <row r="6" spans="2:56" ht="11.25" customHeight="1" thickBot="1">
      <c r="B6" s="1007" t="s">
        <v>72</v>
      </c>
      <c r="C6" s="955"/>
      <c r="D6" s="43">
        <f>SUM(Q12:BE70)</f>
        <v>55</v>
      </c>
      <c r="E6" s="1010"/>
      <c r="F6" s="38">
        <f>INT(('能力'!$X$21+'能力'!$Z$21+F7+F8-10)/2)</f>
        <v>0</v>
      </c>
      <c r="G6" s="38">
        <f>INT(('能力'!$X$21+'能力'!$Z$21+COUNTIF('能力'!$L$26,4)+SUM(F7:G8)-10)/2)</f>
        <v>0</v>
      </c>
      <c r="H6" s="38">
        <f>INT(('能力'!$X$21+'能力'!$Z$21+COUNTIF('能力'!$L$26:'能力'!$O$26,4)+SUM(F7:H8)-10)/2)</f>
        <v>0</v>
      </c>
      <c r="I6" s="38">
        <f>INT(('能力'!$X$21+'能力'!$Z$21+COUNTIF('能力'!$L$26:'能力'!$R$26,4)+SUM(F7:I8)-10)/2)</f>
        <v>0</v>
      </c>
      <c r="J6" s="38">
        <f>INT(('能力'!$X$21+'能力'!$Z$21+COUNTIF('能力'!$L$26:'能力'!$U$26,4)+SUM(F7:J8)-10)/2)</f>
        <v>0</v>
      </c>
      <c r="K6" s="38">
        <f>INT(('能力'!$X$21+'能力'!$Z$21+COUNTIF('能力'!$L$26:'能力'!$X$26,4)+SUM(F7:K8)-10)/2)</f>
        <v>0</v>
      </c>
      <c r="N6" s="955" t="s">
        <v>62</v>
      </c>
      <c r="O6" s="955"/>
      <c r="P6" s="955"/>
      <c r="Q6" s="1004" t="str">
        <f>IF('能力'!F38=0,"",'能力'!F38)</f>
        <v>Bar</v>
      </c>
      <c r="R6" s="1002"/>
      <c r="S6" s="1002" t="str">
        <f>IF('能力'!F39=0,"",'能力'!F39)</f>
        <v>Bar</v>
      </c>
      <c r="T6" s="1002"/>
      <c r="U6" s="1002" t="str">
        <f>IF('能力'!F40=0,"",'能力'!F40)</f>
        <v>Bar</v>
      </c>
      <c r="V6" s="1002"/>
      <c r="W6" s="1002" t="str">
        <f>IF('能力'!F41=0,"",'能力'!F41)</f>
        <v>Bar</v>
      </c>
      <c r="X6" s="1002"/>
      <c r="Y6" s="1002" t="str">
        <f>IF('能力'!F42=0,"",'能力'!F42)</f>
        <v>Bar</v>
      </c>
      <c r="Z6" s="1003"/>
      <c r="AA6" s="1004" t="str">
        <f>IF('能力'!F43=0,"",'能力'!F43)</f>
        <v>Bar</v>
      </c>
      <c r="AB6" s="1002"/>
      <c r="AC6" s="1002" t="str">
        <f>IF('能力'!F44=0,"",'能力'!F44)</f>
        <v>Bar</v>
      </c>
      <c r="AD6" s="1002"/>
      <c r="AE6" s="1002" t="str">
        <f>IF('能力'!F45=0,"",'能力'!F45)</f>
        <v>Bar</v>
      </c>
      <c r="AF6" s="1002"/>
      <c r="AG6" s="1002" t="str">
        <f>IF('能力'!F46=0,"",'能力'!F46)</f>
        <v>Bar</v>
      </c>
      <c r="AH6" s="1002"/>
      <c r="AI6" s="1002" t="str">
        <f>IF('能力'!F47=0,"",'能力'!F47)</f>
        <v>Bar</v>
      </c>
      <c r="AJ6" s="1005"/>
      <c r="AK6" s="1006" t="str">
        <f>IF('能力'!F48=0,"",'能力'!F48)</f>
        <v>Bar</v>
      </c>
      <c r="AL6" s="1002"/>
      <c r="AM6" s="1002" t="str">
        <f>IF('能力'!F49=0,"",'能力'!F49)</f>
        <v>Toughness</v>
      </c>
      <c r="AN6" s="1002"/>
      <c r="AO6" s="1002">
        <f>IF('能力'!F50=0,"",'能力'!F50)</f>
      </c>
      <c r="AP6" s="1002"/>
      <c r="AQ6" s="1002">
        <f>IF('能力'!F51=0,"",'能力'!F51)</f>
      </c>
      <c r="AR6" s="1002"/>
      <c r="AS6" s="1002">
        <f>IF('能力'!F52=0,"",'能力'!F52)</f>
      </c>
      <c r="AT6" s="1003"/>
      <c r="AU6" s="1004">
        <f>IF('能力'!F53=0,"",'能力'!F53)</f>
      </c>
      <c r="AV6" s="1002"/>
      <c r="AW6" s="1002">
        <f>IF('能力'!F54=0,"",'能力'!F54)</f>
      </c>
      <c r="AX6" s="1002"/>
      <c r="AY6" s="1002">
        <f>IF('能力'!F55=0,"",'能力'!F55)</f>
      </c>
      <c r="AZ6" s="1002"/>
      <c r="BA6" s="1002">
        <f>IF('能力'!F56=0,"",'能力'!F56)</f>
      </c>
      <c r="BB6" s="1002"/>
      <c r="BC6" s="1002">
        <f>IF('能力'!F57=0,"",'能力'!F57)</f>
      </c>
      <c r="BD6" s="1005"/>
    </row>
    <row r="7" spans="5:56" ht="11.25" customHeight="1">
      <c r="E7" s="44" t="s">
        <v>360</v>
      </c>
      <c r="F7" s="45"/>
      <c r="G7" s="45"/>
      <c r="H7" s="45"/>
      <c r="I7" s="45"/>
      <c r="J7" s="45"/>
      <c r="K7" s="45"/>
      <c r="L7" s="955" t="s">
        <v>555</v>
      </c>
      <c r="M7" s="955"/>
      <c r="N7" s="955"/>
      <c r="O7" s="955"/>
      <c r="P7" s="1019"/>
      <c r="Q7" s="959">
        <f>IF('能力'!AY38=0,"",MAX(1,'能力'!$AY$38+'能力'!$BB$38+'技能'!$F$6)+'能力'!$AZ$35)</f>
        <v>5</v>
      </c>
      <c r="R7" s="958"/>
      <c r="S7" s="957">
        <f>IF('能力'!AY39=0,"",MAX(1,'能力'!$AY$39+'能力'!$BB$39+'技能'!$F$6)+'能力'!$AZ$35)</f>
        <v>5</v>
      </c>
      <c r="T7" s="958"/>
      <c r="U7" s="957">
        <f>IF('能力'!AY40=0,"",MAX(1,'能力'!$AY$40+'能力'!$BB$40+'技能'!$F$6)+'能力'!$AZ$35)</f>
        <v>5</v>
      </c>
      <c r="V7" s="958"/>
      <c r="W7" s="957">
        <f>IF('能力'!AY41=0,"",MAX(1,'能力'!$AY$41+'能力'!$BB$41+'技能'!$F$6)+'能力'!$AZ$35)</f>
        <v>5</v>
      </c>
      <c r="X7" s="958"/>
      <c r="Y7" s="957">
        <f>IF('能力'!AY42=0,"",MAX(1,'能力'!$AY$42+'能力'!$BB$42+'技能'!$G$6)+'能力'!$AZ$35)</f>
        <v>5</v>
      </c>
      <c r="Z7" s="1000"/>
      <c r="AA7" s="959">
        <f>IF('能力'!AY43=0,"",MAX(1,'能力'!$AY$43+'能力'!$BB$43+'技能'!$G$6)+'能力'!$AZ$35)</f>
        <v>5</v>
      </c>
      <c r="AB7" s="958"/>
      <c r="AC7" s="957">
        <f>IF('能力'!AY44=0,"",MAX(1,'能力'!$AY$44+'能力'!$BB$44+'技能'!$G$6)+'能力'!$AZ$35)</f>
        <v>5</v>
      </c>
      <c r="AD7" s="958"/>
      <c r="AE7" s="957">
        <f>IF('能力'!AY45=0,"",MAX(1,'能力'!$AY$45+'能力'!$BB$45+'技能'!$H$6)+'能力'!$AZ$35)</f>
        <v>5</v>
      </c>
      <c r="AF7" s="958"/>
      <c r="AG7" s="957">
        <f>IF('能力'!AY46=0,"",MAX(1,'能力'!$AY$46+'能力'!$BB$46+'技能'!$H$6)+'能力'!$AZ$35)</f>
        <v>5</v>
      </c>
      <c r="AH7" s="958"/>
      <c r="AI7" s="957">
        <f>IF('能力'!AY47=0,"",MAX(1,'能力'!$AY$47+'能力'!$BB$47+'技能'!$H$6)+'能力'!$AZ$35)</f>
        <v>5</v>
      </c>
      <c r="AJ7" s="1000"/>
      <c r="AK7" s="959">
        <f>IF('能力'!AY48=0,"",MAX(1,'能力'!$AY$48+'能力'!$BB$48+'技能'!$H$6)+'能力'!$AZ$35)</f>
        <v>5</v>
      </c>
      <c r="AL7" s="999"/>
      <c r="AM7" s="1001">
        <f>IF('能力'!AY49=0,"",MAX(1,'能力'!$AY$49+'能力'!$BB$49+'技能'!$I$6)+'能力'!$AZ$35)</f>
      </c>
      <c r="AN7" s="1001"/>
      <c r="AO7" s="1001">
        <f>IF('能力'!AY50=0,"",MAX(1,'能力'!$AY$50+'能力'!$BB$50+'技能'!$I$6)+'能力'!$AZ$35)</f>
      </c>
      <c r="AP7" s="1001"/>
      <c r="AQ7" s="1001">
        <f>IF('能力'!AY51=0,"",MAX(1,'能力'!$AY$51+'能力'!$BB$51+'技能'!$I$6)+'能力'!$AZ$35)</f>
      </c>
      <c r="AR7" s="1001"/>
      <c r="AS7" s="999">
        <f>IF('能力'!AY52=0,"",MAX(1,'能力'!$AY$52+'能力'!$BB$52+'技能'!$I$6)+'能力'!$AZ$35)</f>
      </c>
      <c r="AT7" s="1000"/>
      <c r="AU7" s="959">
        <f>IF('能力'!AY53=0,"",MAX(1,'能力'!$AY$53+'能力'!$BB$53+'技能'!$J$6)+'能力'!$AZ$35)</f>
      </c>
      <c r="AV7" s="958"/>
      <c r="AW7" s="957">
        <f>IF('能力'!AY54=0,"",MAX(1,'能力'!$AY$54+'能力'!$BB$54+'技能'!$J$6)+'能力'!$AZ$35)</f>
      </c>
      <c r="AX7" s="958"/>
      <c r="AY7" s="957">
        <f>IF('能力'!AY55=0,"",MAX(1,'能力'!$AY$55+'能力'!$BB$55+'技能'!$J$6)+'能力'!$AZ$35)</f>
      </c>
      <c r="AZ7" s="958"/>
      <c r="BA7" s="957">
        <f>IF('能力'!AY56=0,"",MAX(1,'能力'!$AY$56+'能力'!$BB$56+'技能'!$J$6)+'能力'!$AZ$35)</f>
      </c>
      <c r="BB7" s="958"/>
      <c r="BC7" s="957">
        <f>IF('能力'!AY57=0,"",MAX(1,'能力'!$AY$57+'能力'!$BB$57+'技能'!$K$6)+'能力'!$AZ$35)</f>
      </c>
      <c r="BD7" s="1000"/>
    </row>
    <row r="8" spans="5:56" ht="11.25" customHeight="1" thickBot="1">
      <c r="E8" s="44" t="s">
        <v>359</v>
      </c>
      <c r="F8" s="45"/>
      <c r="G8" s="45"/>
      <c r="H8" s="45"/>
      <c r="I8" s="45"/>
      <c r="J8" s="45"/>
      <c r="K8" s="45"/>
      <c r="N8" s="955" t="s">
        <v>71</v>
      </c>
      <c r="O8" s="955"/>
      <c r="P8" s="956"/>
      <c r="Q8" s="965">
        <f>SUM(Q12:Q70)+SUM(R12:R70)</f>
        <v>5</v>
      </c>
      <c r="R8" s="964"/>
      <c r="S8" s="963">
        <f>SUM(S12:S70)+SUM(T12:T70)</f>
        <v>5</v>
      </c>
      <c r="T8" s="964"/>
      <c r="U8" s="963">
        <f>SUM(U12:U70)+SUM(V12:V70)</f>
        <v>5</v>
      </c>
      <c r="V8" s="964"/>
      <c r="W8" s="963">
        <f>SUM(W12:W70)+SUM(X12:X70)</f>
        <v>5</v>
      </c>
      <c r="X8" s="964"/>
      <c r="Y8" s="963">
        <f>SUM(Y12:Y70)+SUM(Z12:Z70)</f>
        <v>5</v>
      </c>
      <c r="Z8" s="998"/>
      <c r="AA8" s="965">
        <f>SUM(AA12:AA70)+SUM(AB12:AB70)</f>
        <v>5</v>
      </c>
      <c r="AB8" s="964"/>
      <c r="AC8" s="963">
        <f>SUM(AC12:AC70)+SUM(AD12:AD70)</f>
        <v>5</v>
      </c>
      <c r="AD8" s="964"/>
      <c r="AE8" s="963">
        <f>SUM(AE12:AE70)+SUM(AF12:AF70)</f>
        <v>5</v>
      </c>
      <c r="AF8" s="964"/>
      <c r="AG8" s="963">
        <f>SUM(AG12:AG70)+SUM(AH12:AH70)</f>
        <v>5</v>
      </c>
      <c r="AH8" s="964"/>
      <c r="AI8" s="963">
        <f>SUM(AI12:AI70)+SUM(AJ12:AJ70)</f>
        <v>5</v>
      </c>
      <c r="AJ8" s="998"/>
      <c r="AK8" s="965">
        <f>SUM(AK12:AK70)+SUM(AL12:AL70)</f>
        <v>5</v>
      </c>
      <c r="AL8" s="964"/>
      <c r="AM8" s="963">
        <f>SUM(AM12:AM70)+SUM(AN12:AN70)</f>
        <v>0</v>
      </c>
      <c r="AN8" s="964"/>
      <c r="AO8" s="963">
        <f>SUM(AO12:AO70)+SUM(AP12:AP70)</f>
        <v>0</v>
      </c>
      <c r="AP8" s="964"/>
      <c r="AQ8" s="963">
        <f>SUM(AQ12:AQ70)+SUM(AR12:AR70)</f>
        <v>0</v>
      </c>
      <c r="AR8" s="964"/>
      <c r="AS8" s="963">
        <f>SUM(AS12:AS70)+SUM(AT12:AT70)</f>
        <v>0</v>
      </c>
      <c r="AT8" s="998"/>
      <c r="AU8" s="965">
        <f>SUM(AU12:AU70)+SUM(AV12:AV70)</f>
        <v>0</v>
      </c>
      <c r="AV8" s="964"/>
      <c r="AW8" s="963">
        <f>SUM(AW12:AW70)+SUM(AX12:AX70)</f>
        <v>0</v>
      </c>
      <c r="AX8" s="964"/>
      <c r="AY8" s="963">
        <f>SUM(AY12:AY70)+SUM(AZ12:AZ70)</f>
        <v>0</v>
      </c>
      <c r="AZ8" s="964"/>
      <c r="BA8" s="963">
        <f>SUM(BA12:BA70)+SUM(BB12:BB70)</f>
        <v>0</v>
      </c>
      <c r="BB8" s="964"/>
      <c r="BC8" s="963">
        <f>SUM(BC12:BC70)+SUM(BD12:BD70)</f>
        <v>0</v>
      </c>
      <c r="BD8" s="998"/>
    </row>
    <row r="9" spans="5:56" ht="11.25" customHeight="1">
      <c r="E9" s="44"/>
      <c r="L9" s="954" t="s">
        <v>73</v>
      </c>
      <c r="M9" s="955"/>
      <c r="N9" s="955"/>
      <c r="O9" s="956"/>
      <c r="P9" s="338">
        <f>D4</f>
        <v>11</v>
      </c>
      <c r="Q9" s="962">
        <v>1</v>
      </c>
      <c r="R9" s="961"/>
      <c r="S9" s="960">
        <v>2</v>
      </c>
      <c r="T9" s="961"/>
      <c r="U9" s="960">
        <v>3</v>
      </c>
      <c r="V9" s="961"/>
      <c r="W9" s="960">
        <v>4</v>
      </c>
      <c r="X9" s="961"/>
      <c r="Y9" s="960">
        <v>5</v>
      </c>
      <c r="Z9" s="972"/>
      <c r="AA9" s="962">
        <v>6</v>
      </c>
      <c r="AB9" s="961"/>
      <c r="AC9" s="960">
        <v>7</v>
      </c>
      <c r="AD9" s="961"/>
      <c r="AE9" s="960">
        <v>8</v>
      </c>
      <c r="AF9" s="961"/>
      <c r="AG9" s="960">
        <v>9</v>
      </c>
      <c r="AH9" s="961"/>
      <c r="AI9" s="960">
        <v>10</v>
      </c>
      <c r="AJ9" s="972"/>
      <c r="AK9" s="962">
        <v>11</v>
      </c>
      <c r="AL9" s="961"/>
      <c r="AM9" s="960">
        <v>12</v>
      </c>
      <c r="AN9" s="961"/>
      <c r="AO9" s="960">
        <v>13</v>
      </c>
      <c r="AP9" s="961"/>
      <c r="AQ9" s="960">
        <v>14</v>
      </c>
      <c r="AR9" s="961"/>
      <c r="AS9" s="960">
        <v>15</v>
      </c>
      <c r="AT9" s="972"/>
      <c r="AU9" s="962">
        <v>16</v>
      </c>
      <c r="AV9" s="961"/>
      <c r="AW9" s="960">
        <v>17</v>
      </c>
      <c r="AX9" s="961"/>
      <c r="AY9" s="960">
        <v>18</v>
      </c>
      <c r="AZ9" s="961"/>
      <c r="BA9" s="960">
        <v>19</v>
      </c>
      <c r="BB9" s="961"/>
      <c r="BC9" s="960">
        <v>20</v>
      </c>
      <c r="BD9" s="972"/>
    </row>
    <row r="10" spans="1:56" ht="11.25" customHeight="1">
      <c r="A10" s="987" t="s">
        <v>82</v>
      </c>
      <c r="B10" s="985" t="s">
        <v>83</v>
      </c>
      <c r="C10" s="989"/>
      <c r="D10" s="1011" t="s">
        <v>74</v>
      </c>
      <c r="E10" s="1017" t="s">
        <v>398</v>
      </c>
      <c r="F10" s="1015" t="s">
        <v>75</v>
      </c>
      <c r="G10" s="1013" t="s">
        <v>817</v>
      </c>
      <c r="H10" s="977" t="s">
        <v>76</v>
      </c>
      <c r="I10" s="977" t="s">
        <v>77</v>
      </c>
      <c r="J10" s="977" t="s">
        <v>78</v>
      </c>
      <c r="K10" s="977" t="s">
        <v>428</v>
      </c>
      <c r="L10" s="977" t="s">
        <v>107</v>
      </c>
      <c r="M10" s="977" t="s">
        <v>313</v>
      </c>
      <c r="N10" s="977" t="s">
        <v>79</v>
      </c>
      <c r="O10" s="975" t="s">
        <v>80</v>
      </c>
      <c r="P10" s="983" t="s">
        <v>81</v>
      </c>
      <c r="Q10" s="966" t="s">
        <v>432</v>
      </c>
      <c r="R10" s="979"/>
      <c r="S10" s="970" t="s">
        <v>433</v>
      </c>
      <c r="T10" s="979"/>
      <c r="U10" s="970" t="s">
        <v>434</v>
      </c>
      <c r="V10" s="979"/>
      <c r="W10" s="970" t="s">
        <v>386</v>
      </c>
      <c r="X10" s="979"/>
      <c r="Y10" s="970" t="s">
        <v>436</v>
      </c>
      <c r="Z10" s="996"/>
      <c r="AA10" s="966" t="s">
        <v>437</v>
      </c>
      <c r="AB10" s="979"/>
      <c r="AC10" s="970" t="s">
        <v>438</v>
      </c>
      <c r="AD10" s="979"/>
      <c r="AE10" s="970" t="s">
        <v>387</v>
      </c>
      <c r="AF10" s="979"/>
      <c r="AG10" s="970" t="s">
        <v>440</v>
      </c>
      <c r="AH10" s="979"/>
      <c r="AI10" s="970" t="s">
        <v>441</v>
      </c>
      <c r="AJ10" s="996"/>
      <c r="AK10" s="966" t="s">
        <v>442</v>
      </c>
      <c r="AL10" s="979"/>
      <c r="AM10" s="970" t="s">
        <v>388</v>
      </c>
      <c r="AN10" s="979"/>
      <c r="AO10" s="970" t="s">
        <v>444</v>
      </c>
      <c r="AP10" s="979"/>
      <c r="AQ10" s="970" t="s">
        <v>445</v>
      </c>
      <c r="AR10" s="979"/>
      <c r="AS10" s="970" t="s">
        <v>446</v>
      </c>
      <c r="AT10" s="996"/>
      <c r="AU10" s="966" t="s">
        <v>389</v>
      </c>
      <c r="AV10" s="979"/>
      <c r="AW10" s="970" t="s">
        <v>448</v>
      </c>
      <c r="AX10" s="979"/>
      <c r="AY10" s="970" t="s">
        <v>449</v>
      </c>
      <c r="AZ10" s="979"/>
      <c r="BA10" s="970" t="s">
        <v>450</v>
      </c>
      <c r="BB10" s="979"/>
      <c r="BC10" s="970" t="s">
        <v>390</v>
      </c>
      <c r="BD10" s="996"/>
    </row>
    <row r="11" spans="1:56" ht="11.25">
      <c r="A11" s="988"/>
      <c r="B11" s="986"/>
      <c r="C11" s="990"/>
      <c r="D11" s="1012"/>
      <c r="E11" s="1018"/>
      <c r="F11" s="1016"/>
      <c r="G11" s="1014"/>
      <c r="H11" s="978"/>
      <c r="I11" s="978"/>
      <c r="J11" s="978"/>
      <c r="K11" s="978"/>
      <c r="L11" s="978"/>
      <c r="M11" s="978"/>
      <c r="N11" s="978"/>
      <c r="O11" s="976"/>
      <c r="P11" s="984"/>
      <c r="Q11" s="980"/>
      <c r="R11" s="981"/>
      <c r="S11" s="982"/>
      <c r="T11" s="981"/>
      <c r="U11" s="982"/>
      <c r="V11" s="981"/>
      <c r="W11" s="982"/>
      <c r="X11" s="981"/>
      <c r="Y11" s="982"/>
      <c r="Z11" s="997"/>
      <c r="AA11" s="980"/>
      <c r="AB11" s="981"/>
      <c r="AC11" s="982"/>
      <c r="AD11" s="981"/>
      <c r="AE11" s="982"/>
      <c r="AF11" s="981"/>
      <c r="AG11" s="982"/>
      <c r="AH11" s="981"/>
      <c r="AI11" s="982"/>
      <c r="AJ11" s="997"/>
      <c r="AK11" s="980"/>
      <c r="AL11" s="981"/>
      <c r="AM11" s="982"/>
      <c r="AN11" s="981"/>
      <c r="AO11" s="982"/>
      <c r="AP11" s="981"/>
      <c r="AQ11" s="982"/>
      <c r="AR11" s="981"/>
      <c r="AS11" s="982"/>
      <c r="AT11" s="997"/>
      <c r="AU11" s="980"/>
      <c r="AV11" s="981"/>
      <c r="AW11" s="982"/>
      <c r="AX11" s="981"/>
      <c r="AY11" s="982"/>
      <c r="AZ11" s="981"/>
      <c r="BA11" s="982"/>
      <c r="BB11" s="981"/>
      <c r="BC11" s="982"/>
      <c r="BD11" s="997"/>
    </row>
    <row r="12" spans="1:56" ht="13.5" customHeight="1">
      <c r="A12" s="83">
        <v>1</v>
      </c>
      <c r="B12" s="77" t="s">
        <v>768</v>
      </c>
      <c r="C12" s="78" t="s">
        <v>767</v>
      </c>
      <c r="D12" s="79" t="s">
        <v>550</v>
      </c>
      <c r="E12" s="65">
        <f>F12+SUM(H12:M12)+O12+IF(P12="-",0,P12)+IF(O12&gt;0,IF(G12&lt;&gt;0,3,0),0)</f>
        <v>9</v>
      </c>
      <c r="F12" s="73">
        <f ca="1" t="shared" si="0" ref="F12:F52">INDIRECT("R"&amp;ROW($E$3)&amp;"C"&amp;(COLUMN($E$3)+MATCH($D12,$E$2:$J$2,0)-1),FALSE)</f>
        <v>0</v>
      </c>
      <c r="G12" s="66">
        <v>1</v>
      </c>
      <c r="H12" s="66"/>
      <c r="I12" s="66"/>
      <c r="J12" s="66"/>
      <c r="K12" s="66"/>
      <c r="L12" s="524"/>
      <c r="M12" s="66"/>
      <c r="N12" s="67" t="s">
        <v>818</v>
      </c>
      <c r="O12" s="69">
        <f>SUM(Q12:BD12)</f>
        <v>11</v>
      </c>
      <c r="P12" s="71">
        <f>'能力'!AQ84</f>
        <v>-5</v>
      </c>
      <c r="Q12" s="1020">
        <v>1</v>
      </c>
      <c r="R12" s="1021"/>
      <c r="S12" s="1020">
        <v>1</v>
      </c>
      <c r="T12" s="1021"/>
      <c r="U12" s="1020">
        <v>1</v>
      </c>
      <c r="V12" s="1021"/>
      <c r="W12" s="1020">
        <v>1</v>
      </c>
      <c r="X12" s="1021"/>
      <c r="Y12" s="1020">
        <v>1</v>
      </c>
      <c r="Z12" s="1021"/>
      <c r="AA12" s="1020">
        <v>1</v>
      </c>
      <c r="AB12" s="1021"/>
      <c r="AC12" s="1020">
        <v>1</v>
      </c>
      <c r="AD12" s="1021"/>
      <c r="AE12" s="1020">
        <v>1</v>
      </c>
      <c r="AF12" s="1021"/>
      <c r="AG12" s="1020">
        <v>1</v>
      </c>
      <c r="AH12" s="1021"/>
      <c r="AI12" s="1020">
        <v>1</v>
      </c>
      <c r="AJ12" s="1021"/>
      <c r="AK12" s="1020">
        <v>1</v>
      </c>
      <c r="AL12" s="1021"/>
      <c r="AM12" s="1020"/>
      <c r="AN12" s="1021"/>
      <c r="AO12" s="1020"/>
      <c r="AP12" s="1021"/>
      <c r="AQ12" s="1020"/>
      <c r="AR12" s="1021"/>
      <c r="AS12" s="1020"/>
      <c r="AT12" s="1021"/>
      <c r="AU12" s="1020"/>
      <c r="AV12" s="1021"/>
      <c r="AW12" s="1020"/>
      <c r="AX12" s="1021"/>
      <c r="AY12" s="1020"/>
      <c r="AZ12" s="1021"/>
      <c r="BA12" s="1020"/>
      <c r="BB12" s="1021"/>
      <c r="BC12" s="1020"/>
      <c r="BD12" s="1022"/>
    </row>
    <row r="13" spans="1:56" ht="13.5" customHeight="1">
      <c r="A13" s="46">
        <v>2</v>
      </c>
      <c r="B13" s="77" t="s">
        <v>85</v>
      </c>
      <c r="C13" s="78" t="s">
        <v>518</v>
      </c>
      <c r="D13" s="79" t="s">
        <v>554</v>
      </c>
      <c r="E13" s="65">
        <f aca="true" t="shared" si="1" ref="E13:E19">F13+SUM(H13:M13)+O13+IF(P13="-",0,P13)+IF(O13&gt;0,IF(G13&lt;&gt;0,3,0),0)</f>
        <v>0</v>
      </c>
      <c r="F13" s="73">
        <f ca="1" t="shared" si="0"/>
        <v>0</v>
      </c>
      <c r="G13" s="66"/>
      <c r="H13" s="66"/>
      <c r="I13" s="66"/>
      <c r="J13" s="66"/>
      <c r="K13" s="66"/>
      <c r="L13" s="524"/>
      <c r="M13" s="66"/>
      <c r="N13" s="67" t="s">
        <v>818</v>
      </c>
      <c r="O13" s="69">
        <f aca="true" t="shared" si="2" ref="O13:O70">SUM(Q13:BD13)</f>
        <v>0</v>
      </c>
      <c r="P13" s="70" t="s">
        <v>84</v>
      </c>
      <c r="Q13" s="1020"/>
      <c r="R13" s="1021"/>
      <c r="S13" s="1020"/>
      <c r="T13" s="1021"/>
      <c r="U13" s="1020"/>
      <c r="V13" s="1021"/>
      <c r="W13" s="1020"/>
      <c r="X13" s="1021"/>
      <c r="Y13" s="1020"/>
      <c r="Z13" s="1021"/>
      <c r="AA13" s="1020"/>
      <c r="AB13" s="1021"/>
      <c r="AC13" s="1020"/>
      <c r="AD13" s="1021"/>
      <c r="AE13" s="1020"/>
      <c r="AF13" s="1021"/>
      <c r="AG13" s="1020"/>
      <c r="AH13" s="1021"/>
      <c r="AI13" s="1020"/>
      <c r="AJ13" s="1021"/>
      <c r="AK13" s="1020"/>
      <c r="AL13" s="1021"/>
      <c r="AM13" s="1020"/>
      <c r="AN13" s="1021"/>
      <c r="AO13" s="1020"/>
      <c r="AP13" s="1021"/>
      <c r="AQ13" s="1020"/>
      <c r="AR13" s="1021"/>
      <c r="AS13" s="1020"/>
      <c r="AT13" s="1021"/>
      <c r="AU13" s="1020"/>
      <c r="AV13" s="1021"/>
      <c r="AW13" s="1020"/>
      <c r="AX13" s="1021"/>
      <c r="AY13" s="1020"/>
      <c r="AZ13" s="1021"/>
      <c r="BA13" s="1020"/>
      <c r="BB13" s="1021"/>
      <c r="BC13" s="1020"/>
      <c r="BD13" s="1022"/>
    </row>
    <row r="14" spans="1:56" ht="13.5" customHeight="1">
      <c r="A14" s="46">
        <v>3</v>
      </c>
      <c r="B14" s="77" t="s">
        <v>94</v>
      </c>
      <c r="C14" s="78" t="s">
        <v>763</v>
      </c>
      <c r="D14" s="79" t="s">
        <v>558</v>
      </c>
      <c r="E14" s="65">
        <f t="shared" si="1"/>
        <v>0</v>
      </c>
      <c r="F14" s="72">
        <f ca="1" t="shared" si="0"/>
        <v>0</v>
      </c>
      <c r="G14" s="66"/>
      <c r="H14" s="66"/>
      <c r="I14" s="66"/>
      <c r="J14" s="66"/>
      <c r="K14" s="66"/>
      <c r="L14" s="524"/>
      <c r="M14" s="66"/>
      <c r="N14" s="67" t="s">
        <v>818</v>
      </c>
      <c r="O14" s="69">
        <f t="shared" si="2"/>
        <v>0</v>
      </c>
      <c r="P14" s="70" t="s">
        <v>84</v>
      </c>
      <c r="Q14" s="1020"/>
      <c r="R14" s="893"/>
      <c r="S14" s="1020"/>
      <c r="T14" s="893"/>
      <c r="U14" s="1020"/>
      <c r="V14" s="893"/>
      <c r="W14" s="1020"/>
      <c r="X14" s="893"/>
      <c r="Y14" s="1020"/>
      <c r="Z14" s="893"/>
      <c r="AA14" s="1020"/>
      <c r="AB14" s="893"/>
      <c r="AC14" s="1020"/>
      <c r="AD14" s="893"/>
      <c r="AE14" s="1020"/>
      <c r="AF14" s="893"/>
      <c r="AG14" s="1020"/>
      <c r="AH14" s="893"/>
      <c r="AI14" s="1020"/>
      <c r="AJ14" s="893"/>
      <c r="AK14" s="1020"/>
      <c r="AL14" s="893"/>
      <c r="AM14" s="1020"/>
      <c r="AN14" s="893"/>
      <c r="AO14" s="1020"/>
      <c r="AP14" s="893"/>
      <c r="AQ14" s="1020"/>
      <c r="AR14" s="893"/>
      <c r="AS14" s="1020"/>
      <c r="AT14" s="893"/>
      <c r="AU14" s="1020"/>
      <c r="AV14" s="893"/>
      <c r="AW14" s="1020"/>
      <c r="AX14" s="893"/>
      <c r="AY14" s="1020"/>
      <c r="AZ14" s="893"/>
      <c r="BA14" s="1020"/>
      <c r="BB14" s="893"/>
      <c r="BC14" s="1020"/>
      <c r="BD14" s="893"/>
    </row>
    <row r="15" spans="1:56" ht="13.5" customHeight="1">
      <c r="A15" s="46">
        <v>4</v>
      </c>
      <c r="B15" s="77" t="s">
        <v>92</v>
      </c>
      <c r="C15" s="78" t="s">
        <v>764</v>
      </c>
      <c r="D15" s="79" t="s">
        <v>549</v>
      </c>
      <c r="E15" s="65">
        <f t="shared" si="1"/>
        <v>16</v>
      </c>
      <c r="F15" s="76">
        <f ca="1" t="shared" si="0"/>
        <v>7</v>
      </c>
      <c r="G15" s="66">
        <v>1</v>
      </c>
      <c r="H15" s="66"/>
      <c r="I15" s="66"/>
      <c r="J15" s="66"/>
      <c r="K15" s="66"/>
      <c r="L15" s="524"/>
      <c r="M15" s="66"/>
      <c r="N15" s="67" t="s">
        <v>818</v>
      </c>
      <c r="O15" s="69">
        <f t="shared" si="2"/>
        <v>11</v>
      </c>
      <c r="P15" s="71">
        <f>'能力'!AQ84</f>
        <v>-5</v>
      </c>
      <c r="Q15" s="1020">
        <v>1</v>
      </c>
      <c r="R15" s="893"/>
      <c r="S15" s="1020">
        <v>1</v>
      </c>
      <c r="T15" s="893"/>
      <c r="U15" s="1020">
        <v>1</v>
      </c>
      <c r="V15" s="893"/>
      <c r="W15" s="1020">
        <v>1</v>
      </c>
      <c r="X15" s="893"/>
      <c r="Y15" s="1020">
        <v>1</v>
      </c>
      <c r="Z15" s="893"/>
      <c r="AA15" s="1020">
        <v>1</v>
      </c>
      <c r="AB15" s="893"/>
      <c r="AC15" s="1020">
        <v>1</v>
      </c>
      <c r="AD15" s="893"/>
      <c r="AE15" s="1020">
        <v>1</v>
      </c>
      <c r="AF15" s="893"/>
      <c r="AG15" s="1020">
        <v>1</v>
      </c>
      <c r="AH15" s="893"/>
      <c r="AI15" s="1020">
        <v>1</v>
      </c>
      <c r="AJ15" s="893"/>
      <c r="AK15" s="1020">
        <v>1</v>
      </c>
      <c r="AL15" s="893"/>
      <c r="AM15" s="1020"/>
      <c r="AN15" s="893"/>
      <c r="AO15" s="1020"/>
      <c r="AP15" s="893"/>
      <c r="AQ15" s="1020"/>
      <c r="AR15" s="893"/>
      <c r="AS15" s="1020"/>
      <c r="AT15" s="893"/>
      <c r="AU15" s="1020"/>
      <c r="AV15" s="893"/>
      <c r="AW15" s="1020"/>
      <c r="AX15" s="893"/>
      <c r="AY15" s="1020"/>
      <c r="AZ15" s="893"/>
      <c r="BA15" s="1020"/>
      <c r="BB15" s="893"/>
      <c r="BC15" s="1020"/>
      <c r="BD15" s="893"/>
    </row>
    <row r="16" spans="1:56" ht="13.5" customHeight="1">
      <c r="A16" s="46">
        <v>5</v>
      </c>
      <c r="B16" s="77" t="s">
        <v>521</v>
      </c>
      <c r="C16" s="78" t="s">
        <v>765</v>
      </c>
      <c r="D16" s="79" t="s">
        <v>554</v>
      </c>
      <c r="E16" s="65">
        <f t="shared" si="1"/>
        <v>0</v>
      </c>
      <c r="F16" s="74">
        <f ca="1" t="shared" si="0"/>
        <v>0</v>
      </c>
      <c r="G16" s="66"/>
      <c r="H16" s="66"/>
      <c r="I16" s="66"/>
      <c r="J16" s="66"/>
      <c r="K16" s="66"/>
      <c r="L16" s="524"/>
      <c r="M16" s="66"/>
      <c r="N16" s="67" t="s">
        <v>818</v>
      </c>
      <c r="O16" s="69">
        <f t="shared" si="2"/>
        <v>0</v>
      </c>
      <c r="P16" s="70" t="s">
        <v>84</v>
      </c>
      <c r="Q16" s="1020"/>
      <c r="R16" s="893"/>
      <c r="S16" s="1020"/>
      <c r="T16" s="893"/>
      <c r="U16" s="1020"/>
      <c r="V16" s="893"/>
      <c r="W16" s="1020"/>
      <c r="X16" s="893"/>
      <c r="Y16" s="1020"/>
      <c r="Z16" s="893"/>
      <c r="AA16" s="1020"/>
      <c r="AB16" s="893"/>
      <c r="AC16" s="1020"/>
      <c r="AD16" s="893"/>
      <c r="AE16" s="1020"/>
      <c r="AF16" s="893"/>
      <c r="AG16" s="1020"/>
      <c r="AH16" s="893"/>
      <c r="AI16" s="1020"/>
      <c r="AJ16" s="893"/>
      <c r="AK16" s="1020"/>
      <c r="AL16" s="893"/>
      <c r="AM16" s="1020"/>
      <c r="AN16" s="893"/>
      <c r="AO16" s="1020"/>
      <c r="AP16" s="893"/>
      <c r="AQ16" s="1020"/>
      <c r="AR16" s="893"/>
      <c r="AS16" s="1020"/>
      <c r="AT16" s="893"/>
      <c r="AU16" s="1020"/>
      <c r="AV16" s="893"/>
      <c r="AW16" s="1020"/>
      <c r="AX16" s="893"/>
      <c r="AY16" s="1020"/>
      <c r="AZ16" s="893"/>
      <c r="BA16" s="1020"/>
      <c r="BB16" s="893"/>
      <c r="BC16" s="1020"/>
      <c r="BD16" s="893"/>
    </row>
    <row r="17" spans="1:56" ht="13.5" customHeight="1">
      <c r="A17" s="46">
        <v>6</v>
      </c>
      <c r="B17" s="80" t="s">
        <v>521</v>
      </c>
      <c r="C17" s="81" t="s">
        <v>765</v>
      </c>
      <c r="D17" s="82" t="s">
        <v>556</v>
      </c>
      <c r="E17" s="65">
        <f t="shared" si="1"/>
        <v>0</v>
      </c>
      <c r="F17" s="74">
        <f ca="1" t="shared" si="0"/>
        <v>0</v>
      </c>
      <c r="G17" s="66"/>
      <c r="H17" s="66"/>
      <c r="I17" s="66"/>
      <c r="J17" s="66"/>
      <c r="K17" s="66"/>
      <c r="L17" s="524"/>
      <c r="M17" s="66"/>
      <c r="N17" s="67" t="s">
        <v>818</v>
      </c>
      <c r="O17" s="69">
        <f t="shared" si="2"/>
        <v>0</v>
      </c>
      <c r="P17" s="70" t="s">
        <v>84</v>
      </c>
      <c r="Q17" s="1020"/>
      <c r="R17" s="893"/>
      <c r="S17" s="1020"/>
      <c r="T17" s="893"/>
      <c r="U17" s="1020"/>
      <c r="V17" s="893"/>
      <c r="W17" s="1020"/>
      <c r="X17" s="893"/>
      <c r="Y17" s="1020"/>
      <c r="Z17" s="893"/>
      <c r="AA17" s="1020"/>
      <c r="AB17" s="893"/>
      <c r="AC17" s="1020"/>
      <c r="AD17" s="893"/>
      <c r="AE17" s="1020"/>
      <c r="AF17" s="893"/>
      <c r="AG17" s="1020"/>
      <c r="AH17" s="893"/>
      <c r="AI17" s="1020"/>
      <c r="AJ17" s="893"/>
      <c r="AK17" s="1020"/>
      <c r="AL17" s="893"/>
      <c r="AM17" s="1020"/>
      <c r="AN17" s="893"/>
      <c r="AO17" s="1020"/>
      <c r="AP17" s="893"/>
      <c r="AQ17" s="1020"/>
      <c r="AR17" s="893"/>
      <c r="AS17" s="1020"/>
      <c r="AT17" s="893"/>
      <c r="AU17" s="1020"/>
      <c r="AV17" s="893"/>
      <c r="AW17" s="1020"/>
      <c r="AX17" s="893"/>
      <c r="AY17" s="1020"/>
      <c r="AZ17" s="893"/>
      <c r="BA17" s="1020"/>
      <c r="BB17" s="893"/>
      <c r="BC17" s="1020"/>
      <c r="BD17" s="893"/>
    </row>
    <row r="18" spans="1:56" ht="13.5" customHeight="1">
      <c r="A18" s="46">
        <v>7</v>
      </c>
      <c r="B18" s="80" t="s">
        <v>521</v>
      </c>
      <c r="C18" s="81" t="s">
        <v>765</v>
      </c>
      <c r="D18" s="82" t="s">
        <v>556</v>
      </c>
      <c r="E18" s="65">
        <f t="shared" si="1"/>
        <v>0</v>
      </c>
      <c r="F18" s="74">
        <f ca="1" t="shared" si="0"/>
        <v>0</v>
      </c>
      <c r="G18" s="66"/>
      <c r="H18" s="66"/>
      <c r="I18" s="66"/>
      <c r="J18" s="66"/>
      <c r="K18" s="66"/>
      <c r="L18" s="524"/>
      <c r="M18" s="66"/>
      <c r="N18" s="67" t="s">
        <v>818</v>
      </c>
      <c r="O18" s="69">
        <f t="shared" si="2"/>
        <v>0</v>
      </c>
      <c r="P18" s="70" t="s">
        <v>84</v>
      </c>
      <c r="Q18" s="1020"/>
      <c r="R18" s="893"/>
      <c r="S18" s="1020"/>
      <c r="T18" s="893"/>
      <c r="U18" s="1020"/>
      <c r="V18" s="893"/>
      <c r="W18" s="1020"/>
      <c r="X18" s="893"/>
      <c r="Y18" s="1020"/>
      <c r="Z18" s="893"/>
      <c r="AA18" s="1020"/>
      <c r="AB18" s="893"/>
      <c r="AC18" s="1020"/>
      <c r="AD18" s="893"/>
      <c r="AE18" s="1020"/>
      <c r="AF18" s="893"/>
      <c r="AG18" s="1020"/>
      <c r="AH18" s="893"/>
      <c r="AI18" s="1020"/>
      <c r="AJ18" s="893"/>
      <c r="AK18" s="1020"/>
      <c r="AL18" s="893"/>
      <c r="AM18" s="1020"/>
      <c r="AN18" s="893"/>
      <c r="AO18" s="1020"/>
      <c r="AP18" s="893"/>
      <c r="AQ18" s="1020"/>
      <c r="AR18" s="893"/>
      <c r="AS18" s="1020"/>
      <c r="AT18" s="893"/>
      <c r="AU18" s="1020"/>
      <c r="AV18" s="893"/>
      <c r="AW18" s="1020"/>
      <c r="AX18" s="893"/>
      <c r="AY18" s="1020"/>
      <c r="AZ18" s="893"/>
      <c r="BA18" s="1020"/>
      <c r="BB18" s="893"/>
      <c r="BC18" s="1020"/>
      <c r="BD18" s="893"/>
    </row>
    <row r="19" spans="1:56" ht="13.5" customHeight="1">
      <c r="A19" s="46">
        <v>8</v>
      </c>
      <c r="B19" s="80" t="s">
        <v>86</v>
      </c>
      <c r="C19" s="81" t="s">
        <v>766</v>
      </c>
      <c r="D19" s="82" t="s">
        <v>814</v>
      </c>
      <c r="E19" s="65">
        <f t="shared" si="1"/>
        <v>0</v>
      </c>
      <c r="F19" s="72">
        <f ca="1" t="shared" si="0"/>
        <v>0</v>
      </c>
      <c r="G19" s="66"/>
      <c r="H19" s="66"/>
      <c r="I19" s="66"/>
      <c r="J19" s="66"/>
      <c r="K19" s="66"/>
      <c r="L19" s="524"/>
      <c r="M19" s="66"/>
      <c r="N19" s="67" t="s">
        <v>818</v>
      </c>
      <c r="O19" s="69">
        <f t="shared" si="2"/>
        <v>0</v>
      </c>
      <c r="P19" s="70" t="s">
        <v>84</v>
      </c>
      <c r="Q19" s="1020"/>
      <c r="R19" s="893"/>
      <c r="S19" s="1020"/>
      <c r="T19" s="893"/>
      <c r="U19" s="1020"/>
      <c r="V19" s="893"/>
      <c r="W19" s="1020"/>
      <c r="X19" s="893"/>
      <c r="Y19" s="1020"/>
      <c r="Z19" s="893"/>
      <c r="AA19" s="1020"/>
      <c r="AB19" s="893"/>
      <c r="AC19" s="1020"/>
      <c r="AD19" s="893"/>
      <c r="AE19" s="1020"/>
      <c r="AF19" s="893"/>
      <c r="AG19" s="1020"/>
      <c r="AH19" s="893"/>
      <c r="AI19" s="1020"/>
      <c r="AJ19" s="893"/>
      <c r="AK19" s="1020"/>
      <c r="AL19" s="893"/>
      <c r="AM19" s="1020"/>
      <c r="AN19" s="893"/>
      <c r="AO19" s="1020"/>
      <c r="AP19" s="893"/>
      <c r="AQ19" s="1020"/>
      <c r="AR19" s="893"/>
      <c r="AS19" s="1020"/>
      <c r="AT19" s="893"/>
      <c r="AU19" s="1020"/>
      <c r="AV19" s="893"/>
      <c r="AW19" s="1020"/>
      <c r="AX19" s="893"/>
      <c r="AY19" s="1020"/>
      <c r="AZ19" s="893"/>
      <c r="BA19" s="1020"/>
      <c r="BB19" s="893"/>
      <c r="BC19" s="1020"/>
      <c r="BD19" s="893"/>
    </row>
    <row r="20" spans="1:56" ht="13.5" customHeight="1">
      <c r="A20" s="46">
        <v>9</v>
      </c>
      <c r="B20" s="77" t="s">
        <v>90</v>
      </c>
      <c r="C20" s="78" t="s">
        <v>769</v>
      </c>
      <c r="D20" s="79" t="s">
        <v>550</v>
      </c>
      <c r="E20" s="65" t="str">
        <f>IF(O20=0,"-",F20+SUM(H20:M20)+O20+IF(P20="-",0,P20)+IF(O20&gt;0,IF(G20&lt;&gt;0,3,0),0))</f>
        <v>-</v>
      </c>
      <c r="F20" s="73">
        <f ca="1" t="shared" si="0"/>
        <v>0</v>
      </c>
      <c r="G20" s="66"/>
      <c r="H20" s="66"/>
      <c r="I20" s="66"/>
      <c r="J20" s="66"/>
      <c r="K20" s="66"/>
      <c r="L20" s="524"/>
      <c r="M20" s="66"/>
      <c r="N20" s="68" t="s">
        <v>819</v>
      </c>
      <c r="O20" s="69">
        <f t="shared" si="2"/>
        <v>0</v>
      </c>
      <c r="P20" s="71">
        <f>'能力'!AQ84</f>
        <v>-5</v>
      </c>
      <c r="Q20" s="1020"/>
      <c r="R20" s="893"/>
      <c r="S20" s="1020"/>
      <c r="T20" s="893"/>
      <c r="U20" s="1020"/>
      <c r="V20" s="893"/>
      <c r="W20" s="1020"/>
      <c r="X20" s="893"/>
      <c r="Y20" s="1020"/>
      <c r="Z20" s="893"/>
      <c r="AA20" s="1020"/>
      <c r="AB20" s="893"/>
      <c r="AC20" s="1020"/>
      <c r="AD20" s="893"/>
      <c r="AE20" s="1020"/>
      <c r="AF20" s="893"/>
      <c r="AG20" s="1020"/>
      <c r="AH20" s="893"/>
      <c r="AI20" s="1020"/>
      <c r="AJ20" s="893"/>
      <c r="AK20" s="1020"/>
      <c r="AL20" s="893"/>
      <c r="AM20" s="1020"/>
      <c r="AN20" s="893"/>
      <c r="AO20" s="1020"/>
      <c r="AP20" s="893"/>
      <c r="AQ20" s="1020"/>
      <c r="AR20" s="893"/>
      <c r="AS20" s="1020"/>
      <c r="AT20" s="893"/>
      <c r="AU20" s="1020"/>
      <c r="AV20" s="893"/>
      <c r="AW20" s="1020"/>
      <c r="AX20" s="893"/>
      <c r="AY20" s="1020"/>
      <c r="AZ20" s="893"/>
      <c r="BA20" s="1020"/>
      <c r="BB20" s="893"/>
      <c r="BC20" s="1020"/>
      <c r="BD20" s="893"/>
    </row>
    <row r="21" spans="1:56" ht="13.5" customHeight="1">
      <c r="A21" s="46">
        <v>10</v>
      </c>
      <c r="B21" s="77" t="s">
        <v>771</v>
      </c>
      <c r="C21" s="78" t="s">
        <v>770</v>
      </c>
      <c r="D21" s="79" t="s">
        <v>558</v>
      </c>
      <c r="E21" s="65">
        <f>F21+SUM(H21:M21)+O21+IF(P21="-",0,P21)+IF(O21&gt;0,IF(G21&lt;&gt;0,3,0),0)</f>
        <v>0</v>
      </c>
      <c r="F21" s="72">
        <f ca="1" t="shared" si="0"/>
        <v>0</v>
      </c>
      <c r="G21" s="66"/>
      <c r="H21" s="66"/>
      <c r="I21" s="66"/>
      <c r="J21" s="66"/>
      <c r="K21" s="66"/>
      <c r="L21" s="524"/>
      <c r="M21" s="66"/>
      <c r="N21" s="67" t="s">
        <v>818</v>
      </c>
      <c r="O21" s="69">
        <f t="shared" si="2"/>
        <v>0</v>
      </c>
      <c r="P21" s="70" t="s">
        <v>84</v>
      </c>
      <c r="Q21" s="1020"/>
      <c r="R21" s="893"/>
      <c r="S21" s="1020"/>
      <c r="T21" s="893"/>
      <c r="U21" s="1020"/>
      <c r="V21" s="893"/>
      <c r="W21" s="1020"/>
      <c r="X21" s="893"/>
      <c r="Y21" s="1020"/>
      <c r="Z21" s="893"/>
      <c r="AA21" s="1020"/>
      <c r="AB21" s="893"/>
      <c r="AC21" s="1020"/>
      <c r="AD21" s="893"/>
      <c r="AE21" s="1020"/>
      <c r="AF21" s="893"/>
      <c r="AG21" s="1020"/>
      <c r="AH21" s="893"/>
      <c r="AI21" s="1020"/>
      <c r="AJ21" s="893"/>
      <c r="AK21" s="1020"/>
      <c r="AL21" s="893"/>
      <c r="AM21" s="1020"/>
      <c r="AN21" s="893"/>
      <c r="AO21" s="1020"/>
      <c r="AP21" s="893"/>
      <c r="AQ21" s="1020"/>
      <c r="AR21" s="893"/>
      <c r="AS21" s="1020"/>
      <c r="AT21" s="893"/>
      <c r="AU21" s="1020"/>
      <c r="AV21" s="893"/>
      <c r="AW21" s="1020"/>
      <c r="AX21" s="893"/>
      <c r="AY21" s="1020"/>
      <c r="AZ21" s="893"/>
      <c r="BA21" s="1020"/>
      <c r="BB21" s="893"/>
      <c r="BC21" s="1020"/>
      <c r="BD21" s="893"/>
    </row>
    <row r="22" spans="1:56" ht="13.5" customHeight="1">
      <c r="A22" s="46">
        <v>11</v>
      </c>
      <c r="B22" s="77" t="s">
        <v>773</v>
      </c>
      <c r="C22" s="78" t="s">
        <v>772</v>
      </c>
      <c r="D22" s="79" t="s">
        <v>550</v>
      </c>
      <c r="E22" s="65">
        <f>F22+SUM(H22:M22)+O22+IF(P22="-",0,P22)+IF(O22&gt;0,IF(G22&lt;&gt;0,3,0),0)</f>
        <v>-5</v>
      </c>
      <c r="F22" s="73">
        <f ca="1" t="shared" si="0"/>
        <v>0</v>
      </c>
      <c r="G22" s="66"/>
      <c r="H22" s="66"/>
      <c r="I22" s="66"/>
      <c r="J22" s="66"/>
      <c r="K22" s="66"/>
      <c r="L22" s="524"/>
      <c r="M22" s="66"/>
      <c r="N22" s="67" t="s">
        <v>818</v>
      </c>
      <c r="O22" s="69">
        <f t="shared" si="2"/>
        <v>0</v>
      </c>
      <c r="P22" s="71">
        <f>'能力'!AQ84</f>
        <v>-5</v>
      </c>
      <c r="Q22" s="1020"/>
      <c r="R22" s="893"/>
      <c r="S22" s="1020"/>
      <c r="T22" s="893"/>
      <c r="U22" s="1020"/>
      <c r="V22" s="893"/>
      <c r="W22" s="1020"/>
      <c r="X22" s="893"/>
      <c r="Y22" s="1020"/>
      <c r="Z22" s="893"/>
      <c r="AA22" s="1020"/>
      <c r="AB22" s="893"/>
      <c r="AC22" s="1020"/>
      <c r="AD22" s="893"/>
      <c r="AE22" s="1020"/>
      <c r="AF22" s="893"/>
      <c r="AG22" s="1020"/>
      <c r="AH22" s="893"/>
      <c r="AI22" s="1020"/>
      <c r="AJ22" s="893"/>
      <c r="AK22" s="1020"/>
      <c r="AL22" s="893"/>
      <c r="AM22" s="1020"/>
      <c r="AN22" s="893"/>
      <c r="AO22" s="1020"/>
      <c r="AP22" s="893"/>
      <c r="AQ22" s="1020"/>
      <c r="AR22" s="893"/>
      <c r="AS22" s="1020"/>
      <c r="AT22" s="893"/>
      <c r="AU22" s="1020"/>
      <c r="AV22" s="893"/>
      <c r="AW22" s="1020"/>
      <c r="AX22" s="893"/>
      <c r="AY22" s="1020"/>
      <c r="AZ22" s="893"/>
      <c r="BA22" s="1020"/>
      <c r="BB22" s="893"/>
      <c r="BC22" s="1020"/>
      <c r="BD22" s="893"/>
    </row>
    <row r="23" spans="1:56" ht="13.5" customHeight="1">
      <c r="A23" s="46">
        <v>12</v>
      </c>
      <c r="B23" s="77" t="s">
        <v>775</v>
      </c>
      <c r="C23" s="78" t="s">
        <v>774</v>
      </c>
      <c r="D23" s="79" t="s">
        <v>550</v>
      </c>
      <c r="E23" s="65" t="str">
        <f>IF(O23=0,"-",F23+SUM(H23:M23)+O23+IF(P23="-",0,P23)+IF(O23&gt;0,IF(G23&lt;&gt;0,3,0),0))</f>
        <v>-</v>
      </c>
      <c r="F23" s="73">
        <f ca="1" t="shared" si="0"/>
        <v>0</v>
      </c>
      <c r="G23" s="66"/>
      <c r="H23" s="66"/>
      <c r="I23" s="66"/>
      <c r="J23" s="66"/>
      <c r="K23" s="66"/>
      <c r="L23" s="524"/>
      <c r="M23" s="66"/>
      <c r="N23" s="68" t="s">
        <v>819</v>
      </c>
      <c r="O23" s="69">
        <f t="shared" si="2"/>
        <v>0</v>
      </c>
      <c r="P23" s="71">
        <f>'能力'!AQ84</f>
        <v>-5</v>
      </c>
      <c r="Q23" s="1020"/>
      <c r="R23" s="893"/>
      <c r="S23" s="1020"/>
      <c r="T23" s="893"/>
      <c r="U23" s="1020"/>
      <c r="V23" s="893"/>
      <c r="W23" s="1020"/>
      <c r="X23" s="893"/>
      <c r="Y23" s="1020"/>
      <c r="Z23" s="893"/>
      <c r="AA23" s="1020"/>
      <c r="AB23" s="893"/>
      <c r="AC23" s="1020"/>
      <c r="AD23" s="893"/>
      <c r="AE23" s="1020"/>
      <c r="AF23" s="893"/>
      <c r="AG23" s="1020"/>
      <c r="AH23" s="893"/>
      <c r="AI23" s="1020"/>
      <c r="AJ23" s="893"/>
      <c r="AK23" s="1020"/>
      <c r="AL23" s="893"/>
      <c r="AM23" s="1020"/>
      <c r="AN23" s="893"/>
      <c r="AO23" s="1020"/>
      <c r="AP23" s="893"/>
      <c r="AQ23" s="1020"/>
      <c r="AR23" s="893"/>
      <c r="AS23" s="1020"/>
      <c r="AT23" s="893"/>
      <c r="AU23" s="1020"/>
      <c r="AV23" s="893"/>
      <c r="AW23" s="1020"/>
      <c r="AX23" s="893"/>
      <c r="AY23" s="1020"/>
      <c r="AZ23" s="893"/>
      <c r="BA23" s="1020"/>
      <c r="BB23" s="893"/>
      <c r="BC23" s="1020"/>
      <c r="BD23" s="893"/>
    </row>
    <row r="24" spans="1:56" ht="13.5" customHeight="1">
      <c r="A24" s="46">
        <v>13</v>
      </c>
      <c r="B24" s="77" t="s">
        <v>93</v>
      </c>
      <c r="C24" s="78" t="s">
        <v>776</v>
      </c>
      <c r="D24" s="79" t="s">
        <v>557</v>
      </c>
      <c r="E24" s="65" t="str">
        <f>IF(O24=0,"-",F24+SUM(H24:M24)+O24+IF(P24="-",0,P24)+IF(O24&gt;0,IF(G24&lt;&gt;0,3,0),0))</f>
        <v>-</v>
      </c>
      <c r="F24" s="72">
        <f ca="1" t="shared" si="0"/>
        <v>0</v>
      </c>
      <c r="G24" s="66"/>
      <c r="H24" s="66"/>
      <c r="I24" s="66"/>
      <c r="J24" s="66"/>
      <c r="K24" s="66"/>
      <c r="L24" s="524"/>
      <c r="M24" s="66"/>
      <c r="N24" s="68" t="s">
        <v>819</v>
      </c>
      <c r="O24" s="69">
        <f t="shared" si="2"/>
        <v>0</v>
      </c>
      <c r="P24" s="70" t="s">
        <v>84</v>
      </c>
      <c r="Q24" s="1020"/>
      <c r="R24" s="893"/>
      <c r="S24" s="1020"/>
      <c r="T24" s="893"/>
      <c r="U24" s="1020"/>
      <c r="V24" s="893"/>
      <c r="W24" s="1020"/>
      <c r="X24" s="893"/>
      <c r="Y24" s="1020"/>
      <c r="Z24" s="893"/>
      <c r="AA24" s="1020"/>
      <c r="AB24" s="893"/>
      <c r="AC24" s="1020"/>
      <c r="AD24" s="893"/>
      <c r="AE24" s="1020"/>
      <c r="AF24" s="893"/>
      <c r="AG24" s="1020"/>
      <c r="AH24" s="893"/>
      <c r="AI24" s="1020"/>
      <c r="AJ24" s="893"/>
      <c r="AK24" s="1020"/>
      <c r="AL24" s="893"/>
      <c r="AM24" s="1020"/>
      <c r="AN24" s="893"/>
      <c r="AO24" s="1020"/>
      <c r="AP24" s="893"/>
      <c r="AQ24" s="1020"/>
      <c r="AR24" s="893"/>
      <c r="AS24" s="1020"/>
      <c r="AT24" s="893"/>
      <c r="AU24" s="1020"/>
      <c r="AV24" s="893"/>
      <c r="AW24" s="1020"/>
      <c r="AX24" s="893"/>
      <c r="AY24" s="1020"/>
      <c r="AZ24" s="893"/>
      <c r="BA24" s="1020"/>
      <c r="BB24" s="893"/>
      <c r="BC24" s="1020"/>
      <c r="BD24" s="893"/>
    </row>
    <row r="25" spans="1:56" ht="13.5" customHeight="1">
      <c r="A25" s="46">
        <v>14</v>
      </c>
      <c r="B25" s="77" t="s">
        <v>778</v>
      </c>
      <c r="C25" s="78" t="s">
        <v>777</v>
      </c>
      <c r="D25" s="79" t="s">
        <v>578</v>
      </c>
      <c r="E25" s="65">
        <f>F25+SUM(H25:M25)+O25+IF(P25="-",0,P25)+IF(O25&gt;0,IF(G25&lt;&gt;0,3,0),0)</f>
        <v>0</v>
      </c>
      <c r="F25" s="75">
        <f ca="1" t="shared" si="0"/>
        <v>0</v>
      </c>
      <c r="G25" s="66"/>
      <c r="H25" s="66"/>
      <c r="I25" s="66"/>
      <c r="J25" s="66"/>
      <c r="K25" s="66"/>
      <c r="L25" s="524"/>
      <c r="M25" s="66"/>
      <c r="N25" s="67" t="s">
        <v>818</v>
      </c>
      <c r="O25" s="69">
        <f t="shared" si="2"/>
        <v>0</v>
      </c>
      <c r="P25" s="70" t="s">
        <v>84</v>
      </c>
      <c r="Q25" s="1020"/>
      <c r="R25" s="893"/>
      <c r="S25" s="1020"/>
      <c r="T25" s="893"/>
      <c r="U25" s="1020"/>
      <c r="V25" s="893"/>
      <c r="W25" s="1020"/>
      <c r="X25" s="893"/>
      <c r="Y25" s="1020"/>
      <c r="Z25" s="893"/>
      <c r="AA25" s="1020"/>
      <c r="AB25" s="893"/>
      <c r="AC25" s="1020"/>
      <c r="AD25" s="893"/>
      <c r="AE25" s="1020"/>
      <c r="AF25" s="893"/>
      <c r="AG25" s="1020"/>
      <c r="AH25" s="893"/>
      <c r="AI25" s="1020"/>
      <c r="AJ25" s="893"/>
      <c r="AK25" s="1020"/>
      <c r="AL25" s="893"/>
      <c r="AM25" s="1020"/>
      <c r="AN25" s="893"/>
      <c r="AO25" s="1020"/>
      <c r="AP25" s="893"/>
      <c r="AQ25" s="1020"/>
      <c r="AR25" s="893"/>
      <c r="AS25" s="1020"/>
      <c r="AT25" s="893"/>
      <c r="AU25" s="1020"/>
      <c r="AV25" s="893"/>
      <c r="AW25" s="1020"/>
      <c r="AX25" s="893"/>
      <c r="AY25" s="1020"/>
      <c r="AZ25" s="893"/>
      <c r="BA25" s="1020"/>
      <c r="BB25" s="893"/>
      <c r="BC25" s="1020"/>
      <c r="BD25" s="893"/>
    </row>
    <row r="26" spans="1:56" ht="13.5" customHeight="1">
      <c r="A26" s="46">
        <v>15</v>
      </c>
      <c r="B26" s="77" t="s">
        <v>780</v>
      </c>
      <c r="C26" s="78" t="s">
        <v>779</v>
      </c>
      <c r="D26" s="79" t="s">
        <v>557</v>
      </c>
      <c r="E26" s="65">
        <f>F26+SUM(H26:M26)+O26+IF(P26="-",0,P26)+IF(O26&gt;0,IF(G26&lt;&gt;0,3,0),0)</f>
        <v>14</v>
      </c>
      <c r="F26" s="72">
        <f ca="1" t="shared" si="0"/>
        <v>0</v>
      </c>
      <c r="G26" s="66">
        <v>1</v>
      </c>
      <c r="H26" s="66"/>
      <c r="I26" s="66"/>
      <c r="J26" s="66"/>
      <c r="K26" s="66"/>
      <c r="L26" s="524"/>
      <c r="M26" s="66"/>
      <c r="N26" s="67" t="s">
        <v>818</v>
      </c>
      <c r="O26" s="69">
        <f t="shared" si="2"/>
        <v>11</v>
      </c>
      <c r="P26" s="70" t="s">
        <v>84</v>
      </c>
      <c r="Q26" s="1020">
        <v>1</v>
      </c>
      <c r="R26" s="893"/>
      <c r="S26" s="1020">
        <v>1</v>
      </c>
      <c r="T26" s="893"/>
      <c r="U26" s="1020">
        <v>1</v>
      </c>
      <c r="V26" s="893"/>
      <c r="W26" s="1020">
        <v>1</v>
      </c>
      <c r="X26" s="893"/>
      <c r="Y26" s="1020">
        <v>1</v>
      </c>
      <c r="Z26" s="893"/>
      <c r="AA26" s="1020">
        <v>1</v>
      </c>
      <c r="AB26" s="893"/>
      <c r="AC26" s="1020">
        <v>1</v>
      </c>
      <c r="AD26" s="893"/>
      <c r="AE26" s="1020">
        <v>1</v>
      </c>
      <c r="AF26" s="893"/>
      <c r="AG26" s="1020">
        <v>1</v>
      </c>
      <c r="AH26" s="893"/>
      <c r="AI26" s="1020">
        <v>1</v>
      </c>
      <c r="AJ26" s="893"/>
      <c r="AK26" s="1020">
        <v>1</v>
      </c>
      <c r="AL26" s="893"/>
      <c r="AM26" s="1020"/>
      <c r="AN26" s="893"/>
      <c r="AO26" s="1020"/>
      <c r="AP26" s="893"/>
      <c r="AQ26" s="1020"/>
      <c r="AR26" s="893"/>
      <c r="AS26" s="1020"/>
      <c r="AT26" s="893"/>
      <c r="AU26" s="1020"/>
      <c r="AV26" s="893"/>
      <c r="AW26" s="1020"/>
      <c r="AX26" s="893"/>
      <c r="AY26" s="1020"/>
      <c r="AZ26" s="893"/>
      <c r="BA26" s="1020"/>
      <c r="BB26" s="893"/>
      <c r="BC26" s="1020"/>
      <c r="BD26" s="893"/>
    </row>
    <row r="27" spans="1:56" ht="13.5" customHeight="1">
      <c r="A27" s="46">
        <v>16</v>
      </c>
      <c r="B27" s="77" t="s">
        <v>782</v>
      </c>
      <c r="C27" s="78" t="s">
        <v>781</v>
      </c>
      <c r="D27" s="79" t="s">
        <v>554</v>
      </c>
      <c r="E27" s="65" t="str">
        <f aca="true" t="shared" si="3" ref="E27:E37">IF(O27=0,"-",F27+SUM(H27:M27)+O27+IF(P27="-",0,P27)+IF(O27&gt;0,IF(G27&lt;&gt;0,3,0),0))</f>
        <v>-</v>
      </c>
      <c r="F27" s="74">
        <f ca="1" t="shared" si="0"/>
        <v>0</v>
      </c>
      <c r="G27" s="66"/>
      <c r="H27" s="66"/>
      <c r="I27" s="66"/>
      <c r="J27" s="66"/>
      <c r="K27" s="66"/>
      <c r="L27" s="524"/>
      <c r="M27" s="66"/>
      <c r="N27" s="68" t="s">
        <v>819</v>
      </c>
      <c r="O27" s="69">
        <f t="shared" si="2"/>
        <v>0</v>
      </c>
      <c r="P27" s="70" t="s">
        <v>84</v>
      </c>
      <c r="Q27" s="1020"/>
      <c r="R27" s="893"/>
      <c r="S27" s="1020"/>
      <c r="T27" s="893"/>
      <c r="U27" s="1020"/>
      <c r="V27" s="893"/>
      <c r="W27" s="1020"/>
      <c r="X27" s="893"/>
      <c r="Y27" s="1020"/>
      <c r="Z27" s="893"/>
      <c r="AA27" s="1020"/>
      <c r="AB27" s="893"/>
      <c r="AC27" s="1020"/>
      <c r="AD27" s="893"/>
      <c r="AE27" s="1020"/>
      <c r="AF27" s="893"/>
      <c r="AG27" s="1020"/>
      <c r="AH27" s="893"/>
      <c r="AI27" s="1020"/>
      <c r="AJ27" s="893"/>
      <c r="AK27" s="1020"/>
      <c r="AL27" s="893"/>
      <c r="AM27" s="1020"/>
      <c r="AN27" s="893"/>
      <c r="AO27" s="1020"/>
      <c r="AP27" s="893"/>
      <c r="AQ27" s="1020"/>
      <c r="AR27" s="893"/>
      <c r="AS27" s="1020"/>
      <c r="AT27" s="893"/>
      <c r="AU27" s="1020"/>
      <c r="AV27" s="893"/>
      <c r="AW27" s="1020"/>
      <c r="AX27" s="893"/>
      <c r="AY27" s="1020"/>
      <c r="AZ27" s="893"/>
      <c r="BA27" s="1020"/>
      <c r="BB27" s="893"/>
      <c r="BC27" s="1020"/>
      <c r="BD27" s="893"/>
    </row>
    <row r="28" spans="1:56" ht="13.5" customHeight="1">
      <c r="A28" s="46">
        <v>17</v>
      </c>
      <c r="B28" s="77" t="s">
        <v>523</v>
      </c>
      <c r="C28" s="78" t="s">
        <v>783</v>
      </c>
      <c r="D28" s="79" t="s">
        <v>554</v>
      </c>
      <c r="E28" s="65" t="str">
        <f t="shared" si="3"/>
        <v>-</v>
      </c>
      <c r="F28" s="74">
        <f ca="1" t="shared" si="0"/>
        <v>0</v>
      </c>
      <c r="G28" s="66"/>
      <c r="H28" s="66"/>
      <c r="I28" s="66"/>
      <c r="J28" s="66"/>
      <c r="K28" s="66"/>
      <c r="L28" s="524"/>
      <c r="M28" s="66"/>
      <c r="N28" s="68" t="s">
        <v>819</v>
      </c>
      <c r="O28" s="69">
        <f t="shared" si="2"/>
        <v>0</v>
      </c>
      <c r="P28" s="70" t="s">
        <v>84</v>
      </c>
      <c r="Q28" s="1020"/>
      <c r="R28" s="893"/>
      <c r="S28" s="1020"/>
      <c r="T28" s="893"/>
      <c r="U28" s="1020"/>
      <c r="V28" s="893"/>
      <c r="W28" s="1020"/>
      <c r="X28" s="893"/>
      <c r="Y28" s="1020"/>
      <c r="Z28" s="893"/>
      <c r="AA28" s="1020"/>
      <c r="AB28" s="893"/>
      <c r="AC28" s="1020"/>
      <c r="AD28" s="893"/>
      <c r="AE28" s="1020"/>
      <c r="AF28" s="893"/>
      <c r="AG28" s="1020"/>
      <c r="AH28" s="893"/>
      <c r="AI28" s="1020"/>
      <c r="AJ28" s="893"/>
      <c r="AK28" s="1020"/>
      <c r="AL28" s="893"/>
      <c r="AM28" s="1020"/>
      <c r="AN28" s="893"/>
      <c r="AO28" s="1020"/>
      <c r="AP28" s="893"/>
      <c r="AQ28" s="1020"/>
      <c r="AR28" s="893"/>
      <c r="AS28" s="1020"/>
      <c r="AT28" s="893"/>
      <c r="AU28" s="1020"/>
      <c r="AV28" s="893"/>
      <c r="AW28" s="1020"/>
      <c r="AX28" s="893"/>
      <c r="AY28" s="1020"/>
      <c r="AZ28" s="893"/>
      <c r="BA28" s="1020"/>
      <c r="BB28" s="893"/>
      <c r="BC28" s="1020"/>
      <c r="BD28" s="893"/>
    </row>
    <row r="29" spans="1:56" ht="13.5" customHeight="1">
      <c r="A29" s="46">
        <v>18</v>
      </c>
      <c r="B29" s="77" t="s">
        <v>785</v>
      </c>
      <c r="C29" s="78" t="s">
        <v>784</v>
      </c>
      <c r="D29" s="79" t="s">
        <v>554</v>
      </c>
      <c r="E29" s="65" t="str">
        <f t="shared" si="3"/>
        <v>-</v>
      </c>
      <c r="F29" s="74">
        <f ca="1" t="shared" si="0"/>
        <v>0</v>
      </c>
      <c r="G29" s="66"/>
      <c r="H29" s="66"/>
      <c r="I29" s="66"/>
      <c r="J29" s="66"/>
      <c r="K29" s="66"/>
      <c r="L29" s="524"/>
      <c r="M29" s="66"/>
      <c r="N29" s="68" t="s">
        <v>819</v>
      </c>
      <c r="O29" s="69">
        <f t="shared" si="2"/>
        <v>0</v>
      </c>
      <c r="P29" s="70" t="s">
        <v>84</v>
      </c>
      <c r="Q29" s="1020"/>
      <c r="R29" s="893"/>
      <c r="S29" s="1020"/>
      <c r="T29" s="893"/>
      <c r="U29" s="1020"/>
      <c r="V29" s="893"/>
      <c r="W29" s="1020"/>
      <c r="X29" s="893"/>
      <c r="Y29" s="1020"/>
      <c r="Z29" s="893"/>
      <c r="AA29" s="1020"/>
      <c r="AB29" s="893"/>
      <c r="AC29" s="1020"/>
      <c r="AD29" s="893"/>
      <c r="AE29" s="1020"/>
      <c r="AF29" s="893"/>
      <c r="AG29" s="1020"/>
      <c r="AH29" s="893"/>
      <c r="AI29" s="1020"/>
      <c r="AJ29" s="893"/>
      <c r="AK29" s="1020"/>
      <c r="AL29" s="893"/>
      <c r="AM29" s="1020"/>
      <c r="AN29" s="893"/>
      <c r="AO29" s="1020"/>
      <c r="AP29" s="893"/>
      <c r="AQ29" s="1020"/>
      <c r="AR29" s="893"/>
      <c r="AS29" s="1020"/>
      <c r="AT29" s="893"/>
      <c r="AU29" s="1020"/>
      <c r="AV29" s="893"/>
      <c r="AW29" s="1020"/>
      <c r="AX29" s="893"/>
      <c r="AY29" s="1020"/>
      <c r="AZ29" s="893"/>
      <c r="BA29" s="1020"/>
      <c r="BB29" s="893"/>
      <c r="BC29" s="1020"/>
      <c r="BD29" s="893"/>
    </row>
    <row r="30" spans="1:56" ht="13.5" customHeight="1">
      <c r="A30" s="46">
        <v>19</v>
      </c>
      <c r="B30" s="77" t="s">
        <v>526</v>
      </c>
      <c r="C30" s="78" t="s">
        <v>786</v>
      </c>
      <c r="D30" s="79" t="s">
        <v>554</v>
      </c>
      <c r="E30" s="65" t="str">
        <f t="shared" si="3"/>
        <v>-</v>
      </c>
      <c r="F30" s="74">
        <f ca="1" t="shared" si="0"/>
        <v>0</v>
      </c>
      <c r="G30" s="66"/>
      <c r="H30" s="66"/>
      <c r="I30" s="66"/>
      <c r="J30" s="66"/>
      <c r="K30" s="66"/>
      <c r="L30" s="524"/>
      <c r="M30" s="66"/>
      <c r="N30" s="68" t="s">
        <v>819</v>
      </c>
      <c r="O30" s="69">
        <f t="shared" si="2"/>
        <v>0</v>
      </c>
      <c r="P30" s="70" t="s">
        <v>84</v>
      </c>
      <c r="Q30" s="1020"/>
      <c r="R30" s="893"/>
      <c r="S30" s="1020"/>
      <c r="T30" s="893"/>
      <c r="U30" s="1020"/>
      <c r="V30" s="893"/>
      <c r="W30" s="1020"/>
      <c r="X30" s="893"/>
      <c r="Y30" s="1020"/>
      <c r="Z30" s="893"/>
      <c r="AA30" s="1020"/>
      <c r="AB30" s="893"/>
      <c r="AC30" s="1020"/>
      <c r="AD30" s="893"/>
      <c r="AE30" s="1020"/>
      <c r="AF30" s="893"/>
      <c r="AG30" s="1020"/>
      <c r="AH30" s="893"/>
      <c r="AI30" s="1020"/>
      <c r="AJ30" s="893"/>
      <c r="AK30" s="1020"/>
      <c r="AL30" s="893"/>
      <c r="AM30" s="1020"/>
      <c r="AN30" s="893"/>
      <c r="AO30" s="1020"/>
      <c r="AP30" s="893"/>
      <c r="AQ30" s="1020"/>
      <c r="AR30" s="893"/>
      <c r="AS30" s="1020"/>
      <c r="AT30" s="893"/>
      <c r="AU30" s="1020"/>
      <c r="AV30" s="893"/>
      <c r="AW30" s="1020"/>
      <c r="AX30" s="893"/>
      <c r="AY30" s="1020"/>
      <c r="AZ30" s="893"/>
      <c r="BA30" s="1020"/>
      <c r="BB30" s="893"/>
      <c r="BC30" s="1020"/>
      <c r="BD30" s="893"/>
    </row>
    <row r="31" spans="1:56" ht="13.5" customHeight="1">
      <c r="A31" s="46">
        <v>20</v>
      </c>
      <c r="B31" s="77" t="s">
        <v>524</v>
      </c>
      <c r="C31" s="78" t="s">
        <v>787</v>
      </c>
      <c r="D31" s="79" t="s">
        <v>554</v>
      </c>
      <c r="E31" s="65" t="str">
        <f t="shared" si="3"/>
        <v>-</v>
      </c>
      <c r="F31" s="74">
        <f ca="1" t="shared" si="0"/>
        <v>0</v>
      </c>
      <c r="G31" s="66"/>
      <c r="H31" s="66"/>
      <c r="I31" s="66"/>
      <c r="J31" s="66"/>
      <c r="K31" s="66"/>
      <c r="L31" s="524"/>
      <c r="M31" s="66"/>
      <c r="N31" s="68" t="s">
        <v>819</v>
      </c>
      <c r="O31" s="69">
        <f t="shared" si="2"/>
        <v>0</v>
      </c>
      <c r="P31" s="70" t="s">
        <v>84</v>
      </c>
      <c r="Q31" s="1020"/>
      <c r="R31" s="893"/>
      <c r="S31" s="1020"/>
      <c r="T31" s="893"/>
      <c r="U31" s="1020"/>
      <c r="V31" s="893"/>
      <c r="W31" s="1020"/>
      <c r="X31" s="893"/>
      <c r="Y31" s="1020"/>
      <c r="Z31" s="893"/>
      <c r="AA31" s="1020"/>
      <c r="AB31" s="893"/>
      <c r="AC31" s="1020"/>
      <c r="AD31" s="893"/>
      <c r="AE31" s="1020"/>
      <c r="AF31" s="893"/>
      <c r="AG31" s="1020"/>
      <c r="AH31" s="893"/>
      <c r="AI31" s="1020"/>
      <c r="AJ31" s="893"/>
      <c r="AK31" s="1020"/>
      <c r="AL31" s="893"/>
      <c r="AM31" s="1020"/>
      <c r="AN31" s="893"/>
      <c r="AO31" s="1020"/>
      <c r="AP31" s="893"/>
      <c r="AQ31" s="1020"/>
      <c r="AR31" s="893"/>
      <c r="AS31" s="1020"/>
      <c r="AT31" s="893"/>
      <c r="AU31" s="1020"/>
      <c r="AV31" s="893"/>
      <c r="AW31" s="1020"/>
      <c r="AX31" s="893"/>
      <c r="AY31" s="1020"/>
      <c r="AZ31" s="893"/>
      <c r="BA31" s="1020"/>
      <c r="BB31" s="893"/>
      <c r="BC31" s="1020"/>
      <c r="BD31" s="893"/>
    </row>
    <row r="32" spans="1:56" ht="13.5" customHeight="1">
      <c r="A32" s="46">
        <v>21</v>
      </c>
      <c r="B32" s="80" t="s">
        <v>525</v>
      </c>
      <c r="C32" s="81" t="s">
        <v>789</v>
      </c>
      <c r="D32" s="79" t="s">
        <v>556</v>
      </c>
      <c r="E32" s="65" t="str">
        <f t="shared" si="3"/>
        <v>-</v>
      </c>
      <c r="F32" s="74">
        <f ca="1" t="shared" si="0"/>
        <v>0</v>
      </c>
      <c r="G32" s="66"/>
      <c r="H32" s="66"/>
      <c r="I32" s="66"/>
      <c r="J32" s="66"/>
      <c r="K32" s="66"/>
      <c r="L32" s="524"/>
      <c r="M32" s="66"/>
      <c r="N32" s="68" t="s">
        <v>819</v>
      </c>
      <c r="O32" s="69">
        <f t="shared" si="2"/>
        <v>0</v>
      </c>
      <c r="P32" s="70" t="s">
        <v>84</v>
      </c>
      <c r="Q32" s="1020"/>
      <c r="R32" s="893"/>
      <c r="S32" s="1020"/>
      <c r="T32" s="893"/>
      <c r="U32" s="1020"/>
      <c r="V32" s="893"/>
      <c r="W32" s="1020"/>
      <c r="X32" s="893"/>
      <c r="Y32" s="1020"/>
      <c r="Z32" s="893"/>
      <c r="AA32" s="1020"/>
      <c r="AB32" s="893"/>
      <c r="AC32" s="1020"/>
      <c r="AD32" s="893"/>
      <c r="AE32" s="1020"/>
      <c r="AF32" s="893"/>
      <c r="AG32" s="1020"/>
      <c r="AH32" s="893"/>
      <c r="AI32" s="1020"/>
      <c r="AJ32" s="893"/>
      <c r="AK32" s="1020"/>
      <c r="AL32" s="893"/>
      <c r="AM32" s="1020"/>
      <c r="AN32" s="893"/>
      <c r="AO32" s="1020"/>
      <c r="AP32" s="893"/>
      <c r="AQ32" s="1020"/>
      <c r="AR32" s="893"/>
      <c r="AS32" s="1020"/>
      <c r="AT32" s="893"/>
      <c r="AU32" s="1020"/>
      <c r="AV32" s="893"/>
      <c r="AW32" s="1020"/>
      <c r="AX32" s="893"/>
      <c r="AY32" s="1020"/>
      <c r="AZ32" s="893"/>
      <c r="BA32" s="1020"/>
      <c r="BB32" s="893"/>
      <c r="BC32" s="1020"/>
      <c r="BD32" s="893"/>
    </row>
    <row r="33" spans="1:56" ht="13.5" customHeight="1">
      <c r="A33" s="46">
        <v>22</v>
      </c>
      <c r="B33" s="77" t="s">
        <v>522</v>
      </c>
      <c r="C33" s="78" t="s">
        <v>788</v>
      </c>
      <c r="D33" s="79" t="s">
        <v>556</v>
      </c>
      <c r="E33" s="65" t="str">
        <f t="shared" si="3"/>
        <v>-</v>
      </c>
      <c r="F33" s="74">
        <f ca="1" t="shared" si="0"/>
        <v>0</v>
      </c>
      <c r="G33" s="66"/>
      <c r="H33" s="66"/>
      <c r="I33" s="66"/>
      <c r="J33" s="66"/>
      <c r="K33" s="66"/>
      <c r="L33" s="524"/>
      <c r="M33" s="66"/>
      <c r="N33" s="68" t="s">
        <v>819</v>
      </c>
      <c r="O33" s="69">
        <f t="shared" si="2"/>
        <v>0</v>
      </c>
      <c r="P33" s="70" t="s">
        <v>84</v>
      </c>
      <c r="Q33" s="1020"/>
      <c r="R33" s="893"/>
      <c r="S33" s="1020"/>
      <c r="T33" s="893"/>
      <c r="U33" s="1020"/>
      <c r="V33" s="893"/>
      <c r="W33" s="1020"/>
      <c r="X33" s="893"/>
      <c r="Y33" s="1020"/>
      <c r="Z33" s="893"/>
      <c r="AA33" s="1020"/>
      <c r="AB33" s="893"/>
      <c r="AC33" s="1020"/>
      <c r="AD33" s="893"/>
      <c r="AE33" s="1020"/>
      <c r="AF33" s="893"/>
      <c r="AG33" s="1020"/>
      <c r="AH33" s="893"/>
      <c r="AI33" s="1020"/>
      <c r="AJ33" s="893"/>
      <c r="AK33" s="1020"/>
      <c r="AL33" s="893"/>
      <c r="AM33" s="1020"/>
      <c r="AN33" s="893"/>
      <c r="AO33" s="1020"/>
      <c r="AP33" s="893"/>
      <c r="AQ33" s="1020"/>
      <c r="AR33" s="893"/>
      <c r="AS33" s="1020"/>
      <c r="AT33" s="893"/>
      <c r="AU33" s="1020"/>
      <c r="AV33" s="893"/>
      <c r="AW33" s="1020"/>
      <c r="AX33" s="893"/>
      <c r="AY33" s="1020"/>
      <c r="AZ33" s="893"/>
      <c r="BA33" s="1020"/>
      <c r="BB33" s="893"/>
      <c r="BC33" s="1020"/>
      <c r="BD33" s="893"/>
    </row>
    <row r="34" spans="1:56" ht="13.5" customHeight="1">
      <c r="A34" s="46">
        <v>23</v>
      </c>
      <c r="B34" s="77" t="s">
        <v>791</v>
      </c>
      <c r="C34" s="78" t="s">
        <v>790</v>
      </c>
      <c r="D34" s="79" t="s">
        <v>556</v>
      </c>
      <c r="E34" s="65" t="str">
        <f t="shared" si="3"/>
        <v>-</v>
      </c>
      <c r="F34" s="74">
        <f ca="1" t="shared" si="0"/>
        <v>0</v>
      </c>
      <c r="G34" s="66"/>
      <c r="H34" s="66"/>
      <c r="I34" s="66"/>
      <c r="J34" s="66"/>
      <c r="K34" s="66"/>
      <c r="L34" s="524"/>
      <c r="M34" s="66"/>
      <c r="N34" s="68" t="s">
        <v>819</v>
      </c>
      <c r="O34" s="69">
        <f t="shared" si="2"/>
        <v>0</v>
      </c>
      <c r="P34" s="70" t="s">
        <v>84</v>
      </c>
      <c r="Q34" s="1020"/>
      <c r="R34" s="893"/>
      <c r="S34" s="1020"/>
      <c r="T34" s="893"/>
      <c r="U34" s="1020"/>
      <c r="V34" s="893"/>
      <c r="W34" s="1020"/>
      <c r="X34" s="893"/>
      <c r="Y34" s="1020"/>
      <c r="Z34" s="893"/>
      <c r="AA34" s="1020"/>
      <c r="AB34" s="893"/>
      <c r="AC34" s="1020"/>
      <c r="AD34" s="893"/>
      <c r="AE34" s="1020"/>
      <c r="AF34" s="893"/>
      <c r="AG34" s="1020"/>
      <c r="AH34" s="893"/>
      <c r="AI34" s="1020"/>
      <c r="AJ34" s="893"/>
      <c r="AK34" s="1020"/>
      <c r="AL34" s="893"/>
      <c r="AM34" s="1020"/>
      <c r="AN34" s="893"/>
      <c r="AO34" s="1020"/>
      <c r="AP34" s="893"/>
      <c r="AQ34" s="1020"/>
      <c r="AR34" s="893"/>
      <c r="AS34" s="1020"/>
      <c r="AT34" s="893"/>
      <c r="AU34" s="1020"/>
      <c r="AV34" s="893"/>
      <c r="AW34" s="1020"/>
      <c r="AX34" s="893"/>
      <c r="AY34" s="1020"/>
      <c r="AZ34" s="893"/>
      <c r="BA34" s="1020"/>
      <c r="BB34" s="893"/>
      <c r="BC34" s="1020"/>
      <c r="BD34" s="893"/>
    </row>
    <row r="35" spans="1:56" ht="13.5" customHeight="1">
      <c r="A35" s="46">
        <v>24</v>
      </c>
      <c r="B35" s="77" t="s">
        <v>793</v>
      </c>
      <c r="C35" s="78" t="s">
        <v>792</v>
      </c>
      <c r="D35" s="79" t="s">
        <v>556</v>
      </c>
      <c r="E35" s="65" t="str">
        <f t="shared" si="3"/>
        <v>-</v>
      </c>
      <c r="F35" s="74">
        <f ca="1" t="shared" si="0"/>
        <v>0</v>
      </c>
      <c r="G35" s="66"/>
      <c r="H35" s="66"/>
      <c r="I35" s="66"/>
      <c r="J35" s="66"/>
      <c r="K35" s="66"/>
      <c r="L35" s="524"/>
      <c r="M35" s="66"/>
      <c r="N35" s="68" t="s">
        <v>819</v>
      </c>
      <c r="O35" s="69">
        <f t="shared" si="2"/>
        <v>0</v>
      </c>
      <c r="P35" s="70" t="s">
        <v>84</v>
      </c>
      <c r="Q35" s="1020"/>
      <c r="R35" s="893"/>
      <c r="S35" s="1020"/>
      <c r="T35" s="893"/>
      <c r="U35" s="1020"/>
      <c r="V35" s="893"/>
      <c r="W35" s="1020"/>
      <c r="X35" s="893"/>
      <c r="Y35" s="1020"/>
      <c r="Z35" s="893"/>
      <c r="AA35" s="1020"/>
      <c r="AB35" s="893"/>
      <c r="AC35" s="1020"/>
      <c r="AD35" s="893"/>
      <c r="AE35" s="1020"/>
      <c r="AF35" s="893"/>
      <c r="AG35" s="1020"/>
      <c r="AH35" s="893"/>
      <c r="AI35" s="1020"/>
      <c r="AJ35" s="893"/>
      <c r="AK35" s="1020"/>
      <c r="AL35" s="893"/>
      <c r="AM35" s="1020"/>
      <c r="AN35" s="893"/>
      <c r="AO35" s="1020"/>
      <c r="AP35" s="893"/>
      <c r="AQ35" s="1020"/>
      <c r="AR35" s="893"/>
      <c r="AS35" s="1020"/>
      <c r="AT35" s="893"/>
      <c r="AU35" s="1020"/>
      <c r="AV35" s="893"/>
      <c r="AW35" s="1020"/>
      <c r="AX35" s="893"/>
      <c r="AY35" s="1020"/>
      <c r="AZ35" s="893"/>
      <c r="BA35" s="1020"/>
      <c r="BB35" s="893"/>
      <c r="BC35" s="1020"/>
      <c r="BD35" s="893"/>
    </row>
    <row r="36" spans="1:56" ht="13.5" customHeight="1">
      <c r="A36" s="46">
        <v>25</v>
      </c>
      <c r="B36" s="77" t="s">
        <v>795</v>
      </c>
      <c r="C36" s="78" t="s">
        <v>794</v>
      </c>
      <c r="D36" s="79" t="s">
        <v>556</v>
      </c>
      <c r="E36" s="65" t="str">
        <f t="shared" si="3"/>
        <v>-</v>
      </c>
      <c r="F36" s="74">
        <f ca="1" t="shared" si="0"/>
        <v>0</v>
      </c>
      <c r="G36" s="66"/>
      <c r="H36" s="66"/>
      <c r="I36" s="66"/>
      <c r="J36" s="66"/>
      <c r="K36" s="66"/>
      <c r="L36" s="524"/>
      <c r="M36" s="66"/>
      <c r="N36" s="68" t="s">
        <v>819</v>
      </c>
      <c r="O36" s="69">
        <f t="shared" si="2"/>
        <v>0</v>
      </c>
      <c r="P36" s="70" t="s">
        <v>84</v>
      </c>
      <c r="Q36" s="1020"/>
      <c r="R36" s="893"/>
      <c r="S36" s="1020"/>
      <c r="T36" s="893"/>
      <c r="U36" s="1020"/>
      <c r="V36" s="893"/>
      <c r="W36" s="1020"/>
      <c r="X36" s="893"/>
      <c r="Y36" s="1020"/>
      <c r="Z36" s="893"/>
      <c r="AA36" s="1020"/>
      <c r="AB36" s="893"/>
      <c r="AC36" s="1020"/>
      <c r="AD36" s="893"/>
      <c r="AE36" s="1020"/>
      <c r="AF36" s="893"/>
      <c r="AG36" s="1020"/>
      <c r="AH36" s="893"/>
      <c r="AI36" s="1020"/>
      <c r="AJ36" s="893"/>
      <c r="AK36" s="1020"/>
      <c r="AL36" s="893"/>
      <c r="AM36" s="1020"/>
      <c r="AN36" s="893"/>
      <c r="AO36" s="1020"/>
      <c r="AP36" s="893"/>
      <c r="AQ36" s="1020"/>
      <c r="AR36" s="893"/>
      <c r="AS36" s="1020"/>
      <c r="AT36" s="893"/>
      <c r="AU36" s="1020"/>
      <c r="AV36" s="893"/>
      <c r="AW36" s="1020"/>
      <c r="AX36" s="893"/>
      <c r="AY36" s="1020"/>
      <c r="AZ36" s="893"/>
      <c r="BA36" s="1020"/>
      <c r="BB36" s="893"/>
      <c r="BC36" s="1020"/>
      <c r="BD36" s="893"/>
    </row>
    <row r="37" spans="1:56" ht="13.5" customHeight="1">
      <c r="A37" s="46">
        <v>26</v>
      </c>
      <c r="B37" s="77" t="s">
        <v>797</v>
      </c>
      <c r="C37" s="78" t="s">
        <v>796</v>
      </c>
      <c r="D37" s="79" t="s">
        <v>556</v>
      </c>
      <c r="E37" s="65" t="str">
        <f t="shared" si="3"/>
        <v>-</v>
      </c>
      <c r="F37" s="74">
        <f ca="1" t="shared" si="0"/>
        <v>0</v>
      </c>
      <c r="G37" s="66"/>
      <c r="H37" s="66"/>
      <c r="I37" s="66"/>
      <c r="J37" s="66"/>
      <c r="K37" s="66"/>
      <c r="L37" s="524"/>
      <c r="M37" s="66"/>
      <c r="N37" s="68" t="s">
        <v>819</v>
      </c>
      <c r="O37" s="69">
        <f t="shared" si="2"/>
        <v>0</v>
      </c>
      <c r="P37" s="70" t="s">
        <v>84</v>
      </c>
      <c r="Q37" s="1020"/>
      <c r="R37" s="893"/>
      <c r="S37" s="1020"/>
      <c r="T37" s="893"/>
      <c r="U37" s="1020"/>
      <c r="V37" s="893"/>
      <c r="W37" s="1020"/>
      <c r="X37" s="893"/>
      <c r="Y37" s="1020"/>
      <c r="Z37" s="893"/>
      <c r="AA37" s="1020"/>
      <c r="AB37" s="893"/>
      <c r="AC37" s="1020"/>
      <c r="AD37" s="893"/>
      <c r="AE37" s="1020"/>
      <c r="AF37" s="893"/>
      <c r="AG37" s="1020"/>
      <c r="AH37" s="893"/>
      <c r="AI37" s="1020"/>
      <c r="AJ37" s="893"/>
      <c r="AK37" s="1020"/>
      <c r="AL37" s="893"/>
      <c r="AM37" s="1020"/>
      <c r="AN37" s="893"/>
      <c r="AO37" s="1020"/>
      <c r="AP37" s="893"/>
      <c r="AQ37" s="1020"/>
      <c r="AR37" s="893"/>
      <c r="AS37" s="1020"/>
      <c r="AT37" s="893"/>
      <c r="AU37" s="1020"/>
      <c r="AV37" s="893"/>
      <c r="AW37" s="1020"/>
      <c r="AX37" s="893"/>
      <c r="AY37" s="1020"/>
      <c r="AZ37" s="893"/>
      <c r="BA37" s="1020"/>
      <c r="BB37" s="893"/>
      <c r="BC37" s="1020"/>
      <c r="BD37" s="893"/>
    </row>
    <row r="38" spans="1:56" ht="13.5" customHeight="1">
      <c r="A38" s="46">
        <v>27</v>
      </c>
      <c r="B38" s="80" t="s">
        <v>799</v>
      </c>
      <c r="C38" s="81" t="s">
        <v>798</v>
      </c>
      <c r="D38" s="79" t="s">
        <v>578</v>
      </c>
      <c r="E38" s="65">
        <f>F38+SUM(H38:M38)+O38+IF(P38="-",0,P38)+IF(O38&gt;0,IF(G38&lt;&gt;0,3,0),0)</f>
        <v>0</v>
      </c>
      <c r="F38" s="75">
        <f ca="1" t="shared" si="0"/>
        <v>0</v>
      </c>
      <c r="G38" s="66"/>
      <c r="H38" s="66"/>
      <c r="I38" s="66"/>
      <c r="J38" s="66"/>
      <c r="K38" s="66"/>
      <c r="L38" s="524"/>
      <c r="M38" s="66"/>
      <c r="N38" s="67" t="s">
        <v>818</v>
      </c>
      <c r="O38" s="69">
        <f t="shared" si="2"/>
        <v>0</v>
      </c>
      <c r="P38" s="70" t="s">
        <v>84</v>
      </c>
      <c r="Q38" s="1020"/>
      <c r="R38" s="893"/>
      <c r="S38" s="1020"/>
      <c r="T38" s="893"/>
      <c r="U38" s="1020"/>
      <c r="V38" s="893"/>
      <c r="W38" s="1020"/>
      <c r="X38" s="893"/>
      <c r="Y38" s="1020"/>
      <c r="Z38" s="893"/>
      <c r="AA38" s="1020"/>
      <c r="AB38" s="893"/>
      <c r="AC38" s="1020"/>
      <c r="AD38" s="893"/>
      <c r="AE38" s="1020"/>
      <c r="AF38" s="893"/>
      <c r="AG38" s="1020"/>
      <c r="AH38" s="893"/>
      <c r="AI38" s="1020"/>
      <c r="AJ38" s="893"/>
      <c r="AK38" s="1020"/>
      <c r="AL38" s="893"/>
      <c r="AM38" s="1020"/>
      <c r="AN38" s="893"/>
      <c r="AO38" s="1020"/>
      <c r="AP38" s="893"/>
      <c r="AQ38" s="1020"/>
      <c r="AR38" s="893"/>
      <c r="AS38" s="1020"/>
      <c r="AT38" s="893"/>
      <c r="AU38" s="1020"/>
      <c r="AV38" s="893"/>
      <c r="AW38" s="1020"/>
      <c r="AX38" s="893"/>
      <c r="AY38" s="1020"/>
      <c r="AZ38" s="893"/>
      <c r="BA38" s="1020"/>
      <c r="BB38" s="893"/>
      <c r="BC38" s="1020"/>
      <c r="BD38" s="893"/>
    </row>
    <row r="39" spans="1:56" ht="13.5" customHeight="1">
      <c r="A39" s="46">
        <v>28</v>
      </c>
      <c r="B39" s="80" t="s">
        <v>519</v>
      </c>
      <c r="C39" s="81" t="s">
        <v>800</v>
      </c>
      <c r="D39" s="79" t="s">
        <v>557</v>
      </c>
      <c r="E39" s="65">
        <f>F39+SUM(H39:M39)+O39+IF(P39="-",0,P39)+IF(O39&gt;0,IF(G39&lt;&gt;0,3,0),0)</f>
        <v>0</v>
      </c>
      <c r="F39" s="72">
        <f ca="1" t="shared" si="0"/>
        <v>0</v>
      </c>
      <c r="G39" s="66"/>
      <c r="H39" s="66"/>
      <c r="I39" s="66"/>
      <c r="J39" s="66"/>
      <c r="K39" s="66"/>
      <c r="L39" s="524"/>
      <c r="M39" s="66"/>
      <c r="N39" s="67" t="s">
        <v>818</v>
      </c>
      <c r="O39" s="69">
        <f t="shared" si="2"/>
        <v>0</v>
      </c>
      <c r="P39" s="70" t="s">
        <v>84</v>
      </c>
      <c r="Q39" s="1020"/>
      <c r="R39" s="893"/>
      <c r="S39" s="1020"/>
      <c r="T39" s="893"/>
      <c r="U39" s="1020"/>
      <c r="V39" s="893"/>
      <c r="W39" s="1020"/>
      <c r="X39" s="893"/>
      <c r="Y39" s="1020"/>
      <c r="Z39" s="893"/>
      <c r="AA39" s="1020"/>
      <c r="AB39" s="893"/>
      <c r="AC39" s="1020"/>
      <c r="AD39" s="893"/>
      <c r="AE39" s="1020"/>
      <c r="AF39" s="893"/>
      <c r="AG39" s="1020"/>
      <c r="AH39" s="893"/>
      <c r="AI39" s="1020"/>
      <c r="AJ39" s="893"/>
      <c r="AK39" s="1020"/>
      <c r="AL39" s="893"/>
      <c r="AM39" s="1020"/>
      <c r="AN39" s="893"/>
      <c r="AO39" s="1020"/>
      <c r="AP39" s="893"/>
      <c r="AQ39" s="1020"/>
      <c r="AR39" s="893"/>
      <c r="AS39" s="1020"/>
      <c r="AT39" s="893"/>
      <c r="AU39" s="1020"/>
      <c r="AV39" s="893"/>
      <c r="AW39" s="1020"/>
      <c r="AX39" s="893"/>
      <c r="AY39" s="1020"/>
      <c r="AZ39" s="893"/>
      <c r="BA39" s="1020"/>
      <c r="BB39" s="893"/>
      <c r="BC39" s="1020"/>
      <c r="BD39" s="893"/>
    </row>
    <row r="40" spans="1:56" ht="13.5" customHeight="1">
      <c r="A40" s="46">
        <v>29</v>
      </c>
      <c r="B40" s="77" t="s">
        <v>519</v>
      </c>
      <c r="C40" s="78" t="s">
        <v>800</v>
      </c>
      <c r="D40" s="79" t="s">
        <v>557</v>
      </c>
      <c r="E40" s="65">
        <f>F40+SUM(H40:M40)+O40+IF(P40="-",0,P40)+IF(O40&gt;0,IF(G40&lt;&gt;0,3,0),0)</f>
        <v>0</v>
      </c>
      <c r="F40" s="72">
        <f ca="1" t="shared" si="0"/>
        <v>0</v>
      </c>
      <c r="G40" s="66"/>
      <c r="H40" s="66"/>
      <c r="I40" s="66"/>
      <c r="J40" s="66"/>
      <c r="K40" s="66"/>
      <c r="L40" s="524"/>
      <c r="M40" s="66"/>
      <c r="N40" s="67" t="s">
        <v>818</v>
      </c>
      <c r="O40" s="69">
        <f t="shared" si="2"/>
        <v>0</v>
      </c>
      <c r="P40" s="70" t="s">
        <v>84</v>
      </c>
      <c r="Q40" s="1020"/>
      <c r="R40" s="893"/>
      <c r="S40" s="1020"/>
      <c r="T40" s="893"/>
      <c r="U40" s="1020"/>
      <c r="V40" s="893"/>
      <c r="W40" s="1020"/>
      <c r="X40" s="893"/>
      <c r="Y40" s="1020"/>
      <c r="Z40" s="893"/>
      <c r="AA40" s="1020"/>
      <c r="AB40" s="893"/>
      <c r="AC40" s="1020"/>
      <c r="AD40" s="893"/>
      <c r="AE40" s="1020"/>
      <c r="AF40" s="893"/>
      <c r="AG40" s="1020"/>
      <c r="AH40" s="893"/>
      <c r="AI40" s="1020"/>
      <c r="AJ40" s="893"/>
      <c r="AK40" s="1020"/>
      <c r="AL40" s="893"/>
      <c r="AM40" s="1020"/>
      <c r="AN40" s="893"/>
      <c r="AO40" s="1020"/>
      <c r="AP40" s="893"/>
      <c r="AQ40" s="1020"/>
      <c r="AR40" s="893"/>
      <c r="AS40" s="1020"/>
      <c r="AT40" s="893"/>
      <c r="AU40" s="1020"/>
      <c r="AV40" s="893"/>
      <c r="AW40" s="1020"/>
      <c r="AX40" s="893"/>
      <c r="AY40" s="1020"/>
      <c r="AZ40" s="893"/>
      <c r="BA40" s="1020"/>
      <c r="BB40" s="893"/>
      <c r="BC40" s="1020"/>
      <c r="BD40" s="893"/>
    </row>
    <row r="41" spans="1:56" ht="13.5" customHeight="1">
      <c r="A41" s="46">
        <v>30</v>
      </c>
      <c r="B41" s="77" t="s">
        <v>519</v>
      </c>
      <c r="C41" s="78" t="s">
        <v>800</v>
      </c>
      <c r="D41" s="79" t="s">
        <v>557</v>
      </c>
      <c r="E41" s="65">
        <f>F41+SUM(H41:M41)+O41+IF(P41="-",0,P41)+IF(O41&gt;0,IF(G41&lt;&gt;0,3,0),0)</f>
        <v>0</v>
      </c>
      <c r="F41" s="72">
        <f ca="1" t="shared" si="0"/>
        <v>0</v>
      </c>
      <c r="G41" s="66"/>
      <c r="H41" s="66"/>
      <c r="I41" s="66"/>
      <c r="J41" s="66"/>
      <c r="K41" s="66"/>
      <c r="L41" s="524"/>
      <c r="M41" s="66"/>
      <c r="N41" s="67" t="s">
        <v>818</v>
      </c>
      <c r="O41" s="69">
        <f t="shared" si="2"/>
        <v>0</v>
      </c>
      <c r="P41" s="70" t="s">
        <v>84</v>
      </c>
      <c r="Q41" s="1020"/>
      <c r="R41" s="893"/>
      <c r="S41" s="1020"/>
      <c r="T41" s="893"/>
      <c r="U41" s="1020"/>
      <c r="V41" s="893"/>
      <c r="W41" s="1020"/>
      <c r="X41" s="893"/>
      <c r="Y41" s="1020"/>
      <c r="Z41" s="893"/>
      <c r="AA41" s="1020"/>
      <c r="AB41" s="893"/>
      <c r="AC41" s="1020"/>
      <c r="AD41" s="893"/>
      <c r="AE41" s="1020"/>
      <c r="AF41" s="893"/>
      <c r="AG41" s="1020"/>
      <c r="AH41" s="893"/>
      <c r="AI41" s="1020"/>
      <c r="AJ41" s="893"/>
      <c r="AK41" s="1020"/>
      <c r="AL41" s="893"/>
      <c r="AM41" s="1020"/>
      <c r="AN41" s="893"/>
      <c r="AO41" s="1020"/>
      <c r="AP41" s="893"/>
      <c r="AQ41" s="1020"/>
      <c r="AR41" s="893"/>
      <c r="AS41" s="1020"/>
      <c r="AT41" s="893"/>
      <c r="AU41" s="1020"/>
      <c r="AV41" s="893"/>
      <c r="AW41" s="1020"/>
      <c r="AX41" s="893"/>
      <c r="AY41" s="1020"/>
      <c r="AZ41" s="893"/>
      <c r="BA41" s="1020"/>
      <c r="BB41" s="893"/>
      <c r="BC41" s="1020"/>
      <c r="BD41" s="893"/>
    </row>
    <row r="42" spans="1:56" ht="13.5" customHeight="1">
      <c r="A42" s="46">
        <v>31</v>
      </c>
      <c r="B42" s="77" t="s">
        <v>520</v>
      </c>
      <c r="C42" s="78" t="s">
        <v>801</v>
      </c>
      <c r="D42" s="79" t="s">
        <v>578</v>
      </c>
      <c r="E42" s="65" t="str">
        <f>IF(O42=0,"-",F42+SUM(H42:M42)+O42+IF(P42="-",0,P42)+IF(O42&gt;0,IF(G42&lt;&gt;0,3,0),0))</f>
        <v>-</v>
      </c>
      <c r="F42" s="72">
        <f ca="1" t="shared" si="0"/>
        <v>0</v>
      </c>
      <c r="G42" s="66"/>
      <c r="H42" s="66"/>
      <c r="I42" s="66"/>
      <c r="J42" s="66"/>
      <c r="K42" s="66"/>
      <c r="L42" s="524"/>
      <c r="M42" s="66"/>
      <c r="N42" s="68" t="s">
        <v>819</v>
      </c>
      <c r="O42" s="69">
        <f t="shared" si="2"/>
        <v>0</v>
      </c>
      <c r="P42" s="70" t="s">
        <v>84</v>
      </c>
      <c r="Q42" s="1020"/>
      <c r="R42" s="893"/>
      <c r="S42" s="1020"/>
      <c r="T42" s="893"/>
      <c r="U42" s="1020"/>
      <c r="V42" s="893"/>
      <c r="W42" s="1020"/>
      <c r="X42" s="893"/>
      <c r="Y42" s="1020"/>
      <c r="Z42" s="893"/>
      <c r="AA42" s="1020"/>
      <c r="AB42" s="893"/>
      <c r="AC42" s="1020"/>
      <c r="AD42" s="893"/>
      <c r="AE42" s="1020"/>
      <c r="AF42" s="893"/>
      <c r="AG42" s="1020"/>
      <c r="AH42" s="893"/>
      <c r="AI42" s="1020"/>
      <c r="AJ42" s="893"/>
      <c r="AK42" s="1020"/>
      <c r="AL42" s="893"/>
      <c r="AM42" s="1020"/>
      <c r="AN42" s="893"/>
      <c r="AO42" s="1020"/>
      <c r="AP42" s="893"/>
      <c r="AQ42" s="1020"/>
      <c r="AR42" s="893"/>
      <c r="AS42" s="1020"/>
      <c r="AT42" s="893"/>
      <c r="AU42" s="1020"/>
      <c r="AV42" s="893"/>
      <c r="AW42" s="1020"/>
      <c r="AX42" s="893"/>
      <c r="AY42" s="1020"/>
      <c r="AZ42" s="893"/>
      <c r="BA42" s="1020"/>
      <c r="BB42" s="893"/>
      <c r="BC42" s="1020"/>
      <c r="BD42" s="893"/>
    </row>
    <row r="43" spans="1:56" ht="13.5" customHeight="1">
      <c r="A43" s="46">
        <v>32</v>
      </c>
      <c r="B43" s="77" t="s">
        <v>520</v>
      </c>
      <c r="C43" s="78" t="s">
        <v>801</v>
      </c>
      <c r="D43" s="79" t="s">
        <v>578</v>
      </c>
      <c r="E43" s="65" t="str">
        <f>IF(O43=0,"-",F43+SUM(H43:M43)+O43+IF(P43="-",0,P43)+IF(O43&gt;0,IF(G43&lt;&gt;0,3,0),0))</f>
        <v>-</v>
      </c>
      <c r="F43" s="75">
        <f ca="1" t="shared" si="0"/>
        <v>0</v>
      </c>
      <c r="G43" s="66"/>
      <c r="H43" s="66"/>
      <c r="I43" s="66"/>
      <c r="J43" s="66"/>
      <c r="K43" s="66"/>
      <c r="L43" s="524"/>
      <c r="M43" s="66"/>
      <c r="N43" s="68" t="s">
        <v>819</v>
      </c>
      <c r="O43" s="69">
        <f t="shared" si="2"/>
        <v>0</v>
      </c>
      <c r="P43" s="70" t="s">
        <v>84</v>
      </c>
      <c r="Q43" s="1020"/>
      <c r="R43" s="893"/>
      <c r="S43" s="1020"/>
      <c r="T43" s="893"/>
      <c r="U43" s="1020"/>
      <c r="V43" s="893"/>
      <c r="W43" s="1020"/>
      <c r="X43" s="893"/>
      <c r="Y43" s="1020"/>
      <c r="Z43" s="893"/>
      <c r="AA43" s="1020"/>
      <c r="AB43" s="893"/>
      <c r="AC43" s="1020"/>
      <c r="AD43" s="893"/>
      <c r="AE43" s="1020"/>
      <c r="AF43" s="893"/>
      <c r="AG43" s="1020"/>
      <c r="AH43" s="893"/>
      <c r="AI43" s="1020"/>
      <c r="AJ43" s="893"/>
      <c r="AK43" s="1020"/>
      <c r="AL43" s="893"/>
      <c r="AM43" s="1020"/>
      <c r="AN43" s="893"/>
      <c r="AO43" s="1020"/>
      <c r="AP43" s="893"/>
      <c r="AQ43" s="1020"/>
      <c r="AR43" s="893"/>
      <c r="AS43" s="1020"/>
      <c r="AT43" s="893"/>
      <c r="AU43" s="1020"/>
      <c r="AV43" s="893"/>
      <c r="AW43" s="1020"/>
      <c r="AX43" s="893"/>
      <c r="AY43" s="1020"/>
      <c r="AZ43" s="893"/>
      <c r="BA43" s="1020"/>
      <c r="BB43" s="893"/>
      <c r="BC43" s="1020"/>
      <c r="BD43" s="893"/>
    </row>
    <row r="44" spans="1:56" ht="13.5" customHeight="1">
      <c r="A44" s="46">
        <v>33</v>
      </c>
      <c r="B44" s="77" t="s">
        <v>520</v>
      </c>
      <c r="C44" s="78" t="s">
        <v>801</v>
      </c>
      <c r="D44" s="79" t="s">
        <v>559</v>
      </c>
      <c r="E44" s="65" t="str">
        <f>IF(O44=0,"-",F44+SUM(H44:M44)+O44+IF(P44="-",0,P44)+IF(O44&gt;0,IF(G44&lt;&gt;0,3,0),0))</f>
        <v>-</v>
      </c>
      <c r="F44" s="75">
        <f ca="1" t="shared" si="0"/>
        <v>0</v>
      </c>
      <c r="G44" s="66"/>
      <c r="H44" s="66"/>
      <c r="I44" s="66"/>
      <c r="J44" s="66"/>
      <c r="K44" s="66"/>
      <c r="L44" s="524"/>
      <c r="M44" s="66"/>
      <c r="N44" s="68" t="s">
        <v>819</v>
      </c>
      <c r="O44" s="69">
        <f t="shared" si="2"/>
        <v>0</v>
      </c>
      <c r="P44" s="70" t="s">
        <v>84</v>
      </c>
      <c r="Q44" s="1020"/>
      <c r="R44" s="893"/>
      <c r="S44" s="1020"/>
      <c r="T44" s="893"/>
      <c r="U44" s="1020"/>
      <c r="V44" s="893"/>
      <c r="W44" s="1020"/>
      <c r="X44" s="893"/>
      <c r="Y44" s="1020"/>
      <c r="Z44" s="893"/>
      <c r="AA44" s="1020"/>
      <c r="AB44" s="893"/>
      <c r="AC44" s="1020"/>
      <c r="AD44" s="893"/>
      <c r="AE44" s="1020"/>
      <c r="AF44" s="893"/>
      <c r="AG44" s="1020"/>
      <c r="AH44" s="893"/>
      <c r="AI44" s="1020"/>
      <c r="AJ44" s="893"/>
      <c r="AK44" s="1020"/>
      <c r="AL44" s="893"/>
      <c r="AM44" s="1020"/>
      <c r="AN44" s="893"/>
      <c r="AO44" s="1020"/>
      <c r="AP44" s="893"/>
      <c r="AQ44" s="1020"/>
      <c r="AR44" s="893"/>
      <c r="AS44" s="1020"/>
      <c r="AT44" s="893"/>
      <c r="AU44" s="1020"/>
      <c r="AV44" s="893"/>
      <c r="AW44" s="1020"/>
      <c r="AX44" s="893"/>
      <c r="AY44" s="1020"/>
      <c r="AZ44" s="893"/>
      <c r="BA44" s="1020"/>
      <c r="BB44" s="893"/>
      <c r="BC44" s="1020"/>
      <c r="BD44" s="893"/>
    </row>
    <row r="45" spans="1:56" ht="13.5" customHeight="1">
      <c r="A45" s="46">
        <v>34</v>
      </c>
      <c r="B45" s="77" t="s">
        <v>803</v>
      </c>
      <c r="C45" s="78" t="s">
        <v>802</v>
      </c>
      <c r="D45" s="79" t="s">
        <v>815</v>
      </c>
      <c r="E45" s="65">
        <f>F45+SUM(H45:M45)+O45+IF(P45="-",0,P45)+IF(O45&gt;0,IF(G45&lt;&gt;0,3,0),0)</f>
        <v>9</v>
      </c>
      <c r="F45" s="73">
        <f ca="1" t="shared" si="0"/>
        <v>0</v>
      </c>
      <c r="G45" s="66">
        <v>1</v>
      </c>
      <c r="H45" s="66"/>
      <c r="I45" s="66"/>
      <c r="J45" s="66"/>
      <c r="K45" s="66"/>
      <c r="L45" s="524"/>
      <c r="M45" s="66"/>
      <c r="N45" s="67" t="s">
        <v>818</v>
      </c>
      <c r="O45" s="69">
        <f t="shared" si="2"/>
        <v>11</v>
      </c>
      <c r="P45" s="71">
        <f>'能力'!AQ84</f>
        <v>-5</v>
      </c>
      <c r="Q45" s="1020">
        <v>1</v>
      </c>
      <c r="R45" s="893"/>
      <c r="S45" s="1020">
        <v>1</v>
      </c>
      <c r="T45" s="893"/>
      <c r="U45" s="1020">
        <v>1</v>
      </c>
      <c r="V45" s="893"/>
      <c r="W45" s="1020">
        <v>1</v>
      </c>
      <c r="X45" s="893"/>
      <c r="Y45" s="1020">
        <v>1</v>
      </c>
      <c r="Z45" s="893"/>
      <c r="AA45" s="1020">
        <v>1</v>
      </c>
      <c r="AB45" s="893"/>
      <c r="AC45" s="1020">
        <v>1</v>
      </c>
      <c r="AD45" s="893"/>
      <c r="AE45" s="1020">
        <v>1</v>
      </c>
      <c r="AF45" s="893"/>
      <c r="AG45" s="1020">
        <v>1</v>
      </c>
      <c r="AH45" s="893"/>
      <c r="AI45" s="1020">
        <v>1</v>
      </c>
      <c r="AJ45" s="893"/>
      <c r="AK45" s="1020">
        <v>1</v>
      </c>
      <c r="AL45" s="893"/>
      <c r="AM45" s="1020"/>
      <c r="AN45" s="893"/>
      <c r="AO45" s="1020"/>
      <c r="AP45" s="893"/>
      <c r="AQ45" s="1020"/>
      <c r="AR45" s="893"/>
      <c r="AS45" s="1020"/>
      <c r="AT45" s="893"/>
      <c r="AU45" s="1020"/>
      <c r="AV45" s="893"/>
      <c r="AW45" s="1020"/>
      <c r="AX45" s="893"/>
      <c r="AY45" s="1020"/>
      <c r="AZ45" s="893"/>
      <c r="BA45" s="1020"/>
      <c r="BB45" s="893"/>
      <c r="BC45" s="1020"/>
      <c r="BD45" s="893"/>
    </row>
    <row r="46" spans="1:56" ht="13.5" customHeight="1">
      <c r="A46" s="46">
        <v>35</v>
      </c>
      <c r="B46" s="77" t="s">
        <v>87</v>
      </c>
      <c r="C46" s="78" t="s">
        <v>804</v>
      </c>
      <c r="D46" s="79" t="s">
        <v>578</v>
      </c>
      <c r="E46" s="65">
        <f>F46+SUM(H46:M46)+O46+IF(P46="-",0,P46)+IF(O46&gt;0,IF(G46&lt;&gt;0,3,0),0)</f>
        <v>0</v>
      </c>
      <c r="F46" s="75">
        <f ca="1" t="shared" si="0"/>
        <v>0</v>
      </c>
      <c r="G46" s="66"/>
      <c r="H46" s="66"/>
      <c r="I46" s="66"/>
      <c r="J46" s="66"/>
      <c r="K46" s="66"/>
      <c r="L46" s="524"/>
      <c r="M46" s="66"/>
      <c r="N46" s="67" t="s">
        <v>818</v>
      </c>
      <c r="O46" s="69">
        <f t="shared" si="2"/>
        <v>0</v>
      </c>
      <c r="P46" s="70" t="s">
        <v>84</v>
      </c>
      <c r="Q46" s="1020"/>
      <c r="R46" s="893"/>
      <c r="S46" s="1020"/>
      <c r="T46" s="893"/>
      <c r="U46" s="1020"/>
      <c r="V46" s="893"/>
      <c r="W46" s="1020"/>
      <c r="X46" s="893"/>
      <c r="Y46" s="1020"/>
      <c r="Z46" s="893"/>
      <c r="AA46" s="1020"/>
      <c r="AB46" s="893"/>
      <c r="AC46" s="1020"/>
      <c r="AD46" s="893"/>
      <c r="AE46" s="1020"/>
      <c r="AF46" s="893"/>
      <c r="AG46" s="1020"/>
      <c r="AH46" s="893"/>
      <c r="AI46" s="1020"/>
      <c r="AJ46" s="893"/>
      <c r="AK46" s="1020"/>
      <c r="AL46" s="893"/>
      <c r="AM46" s="1020"/>
      <c r="AN46" s="893"/>
      <c r="AO46" s="1020"/>
      <c r="AP46" s="893"/>
      <c r="AQ46" s="1020"/>
      <c r="AR46" s="893"/>
      <c r="AS46" s="1020"/>
      <c r="AT46" s="893"/>
      <c r="AU46" s="1020"/>
      <c r="AV46" s="893"/>
      <c r="AW46" s="1020"/>
      <c r="AX46" s="893"/>
      <c r="AY46" s="1020"/>
      <c r="AZ46" s="893"/>
      <c r="BA46" s="1020"/>
      <c r="BB46" s="893"/>
      <c r="BC46" s="1020"/>
      <c r="BD46" s="893"/>
    </row>
    <row r="47" spans="1:56" ht="13.5" customHeight="1">
      <c r="A47" s="46">
        <v>36</v>
      </c>
      <c r="B47" s="77" t="s">
        <v>91</v>
      </c>
      <c r="C47" s="78" t="s">
        <v>805</v>
      </c>
      <c r="D47" s="79" t="s">
        <v>550</v>
      </c>
      <c r="E47" s="65" t="str">
        <f>IF(O47=0,"-",F47+SUM(H47:M47)+O47+IF(P47="-",0,P47)+IF(O47&gt;0,IF(G47&lt;&gt;0,3,0),0))</f>
        <v>-</v>
      </c>
      <c r="F47" s="73">
        <f ca="1" t="shared" si="0"/>
        <v>0</v>
      </c>
      <c r="G47" s="66"/>
      <c r="H47" s="66"/>
      <c r="I47" s="66"/>
      <c r="J47" s="66"/>
      <c r="K47" s="66"/>
      <c r="L47" s="524"/>
      <c r="M47" s="66"/>
      <c r="N47" s="68" t="s">
        <v>819</v>
      </c>
      <c r="O47" s="69">
        <f t="shared" si="2"/>
        <v>0</v>
      </c>
      <c r="P47" s="71">
        <f>'能力'!AQ84</f>
        <v>-5</v>
      </c>
      <c r="Q47" s="1020"/>
      <c r="R47" s="893"/>
      <c r="S47" s="1020"/>
      <c r="T47" s="893"/>
      <c r="U47" s="1020"/>
      <c r="V47" s="893"/>
      <c r="W47" s="1020"/>
      <c r="X47" s="893"/>
      <c r="Y47" s="1020"/>
      <c r="Z47" s="893"/>
      <c r="AA47" s="1020"/>
      <c r="AB47" s="893"/>
      <c r="AC47" s="1020"/>
      <c r="AD47" s="893"/>
      <c r="AE47" s="1020"/>
      <c r="AF47" s="893"/>
      <c r="AG47" s="1020"/>
      <c r="AH47" s="893"/>
      <c r="AI47" s="1020"/>
      <c r="AJ47" s="893"/>
      <c r="AK47" s="1020"/>
      <c r="AL47" s="893"/>
      <c r="AM47" s="1020"/>
      <c r="AN47" s="893"/>
      <c r="AO47" s="1020"/>
      <c r="AP47" s="893"/>
      <c r="AQ47" s="1020"/>
      <c r="AR47" s="893"/>
      <c r="AS47" s="1020"/>
      <c r="AT47" s="893"/>
      <c r="AU47" s="1020"/>
      <c r="AV47" s="893"/>
      <c r="AW47" s="1020"/>
      <c r="AX47" s="893"/>
      <c r="AY47" s="1020"/>
      <c r="AZ47" s="893"/>
      <c r="BA47" s="1020"/>
      <c r="BB47" s="893"/>
      <c r="BC47" s="1020"/>
      <c r="BD47" s="893"/>
    </row>
    <row r="48" spans="1:56" ht="13.5" customHeight="1">
      <c r="A48" s="46">
        <v>37</v>
      </c>
      <c r="B48" s="77" t="s">
        <v>88</v>
      </c>
      <c r="C48" s="78" t="s">
        <v>806</v>
      </c>
      <c r="D48" s="79" t="s">
        <v>554</v>
      </c>
      <c r="E48" s="65">
        <f>F48+SUM(H48:M48)+O48+IF(P48="-",0,P48)+IF(O48&gt;0,IF(G48&lt;&gt;0,3,0),0)</f>
        <v>0</v>
      </c>
      <c r="F48" s="74">
        <f ca="1" t="shared" si="0"/>
        <v>0</v>
      </c>
      <c r="G48" s="66"/>
      <c r="H48" s="66"/>
      <c r="I48" s="66"/>
      <c r="J48" s="66"/>
      <c r="K48" s="66"/>
      <c r="L48" s="524"/>
      <c r="M48" s="66"/>
      <c r="N48" s="67" t="s">
        <v>818</v>
      </c>
      <c r="O48" s="69">
        <f t="shared" si="2"/>
        <v>0</v>
      </c>
      <c r="P48" s="70" t="s">
        <v>84</v>
      </c>
      <c r="Q48" s="1020"/>
      <c r="R48" s="893"/>
      <c r="S48" s="1020"/>
      <c r="T48" s="893"/>
      <c r="U48" s="1020"/>
      <c r="V48" s="893"/>
      <c r="W48" s="1020"/>
      <c r="X48" s="893"/>
      <c r="Y48" s="1020"/>
      <c r="Z48" s="893"/>
      <c r="AA48" s="1020"/>
      <c r="AB48" s="893"/>
      <c r="AC48" s="1020"/>
      <c r="AD48" s="893"/>
      <c r="AE48" s="1020"/>
      <c r="AF48" s="893"/>
      <c r="AG48" s="1020"/>
      <c r="AH48" s="893"/>
      <c r="AI48" s="1020"/>
      <c r="AJ48" s="893"/>
      <c r="AK48" s="1020"/>
      <c r="AL48" s="893"/>
      <c r="AM48" s="1020"/>
      <c r="AN48" s="893"/>
      <c r="AO48" s="1020"/>
      <c r="AP48" s="893"/>
      <c r="AQ48" s="1020"/>
      <c r="AR48" s="893"/>
      <c r="AS48" s="1020"/>
      <c r="AT48" s="893"/>
      <c r="AU48" s="1020"/>
      <c r="AV48" s="893"/>
      <c r="AW48" s="1020"/>
      <c r="AX48" s="893"/>
      <c r="AY48" s="1020"/>
      <c r="AZ48" s="893"/>
      <c r="BA48" s="1020"/>
      <c r="BB48" s="893"/>
      <c r="BC48" s="1020"/>
      <c r="BD48" s="893"/>
    </row>
    <row r="49" spans="1:56" ht="13.5" customHeight="1">
      <c r="A49" s="46">
        <v>38</v>
      </c>
      <c r="B49" s="77" t="s">
        <v>808</v>
      </c>
      <c r="C49" s="78" t="s">
        <v>807</v>
      </c>
      <c r="D49" s="79" t="s">
        <v>550</v>
      </c>
      <c r="E49" s="65" t="str">
        <f aca="true" t="shared" si="4" ref="E49:E70">IF(O49=0,"-",F49+SUM(H49:M49)+O49+IF(P49="-",0,P49)+IF(O49&gt;0,IF(G49&lt;&gt;0,3,0),0))</f>
        <v>-</v>
      </c>
      <c r="F49" s="73">
        <f ca="1" t="shared" si="0"/>
        <v>0</v>
      </c>
      <c r="G49" s="66"/>
      <c r="H49" s="66"/>
      <c r="I49" s="66"/>
      <c r="J49" s="66"/>
      <c r="K49" s="66"/>
      <c r="L49" s="524">
        <f>(-1)*('能力'!BR5-5)*4</f>
        <v>0</v>
      </c>
      <c r="M49" s="66"/>
      <c r="N49" s="67" t="s">
        <v>818</v>
      </c>
      <c r="O49" s="69">
        <f t="shared" si="2"/>
        <v>0</v>
      </c>
      <c r="P49" s="71">
        <f>'能力'!AQ84</f>
        <v>-5</v>
      </c>
      <c r="Q49" s="1020"/>
      <c r="R49" s="893"/>
      <c r="S49" s="1020"/>
      <c r="T49" s="893"/>
      <c r="U49" s="1020"/>
      <c r="V49" s="893"/>
      <c r="W49" s="1020"/>
      <c r="X49" s="893"/>
      <c r="Y49" s="1020"/>
      <c r="Z49" s="893"/>
      <c r="AA49" s="1020"/>
      <c r="AB49" s="893"/>
      <c r="AC49" s="1020"/>
      <c r="AD49" s="893"/>
      <c r="AE49" s="1020"/>
      <c r="AF49" s="893"/>
      <c r="AG49" s="1020"/>
      <c r="AH49" s="893"/>
      <c r="AI49" s="1020"/>
      <c r="AJ49" s="893"/>
      <c r="AK49" s="1020"/>
      <c r="AL49" s="893"/>
      <c r="AM49" s="1020"/>
      <c r="AN49" s="893"/>
      <c r="AO49" s="1020"/>
      <c r="AP49" s="893"/>
      <c r="AQ49" s="1020"/>
      <c r="AR49" s="893"/>
      <c r="AS49" s="1020"/>
      <c r="AT49" s="893"/>
      <c r="AU49" s="1020"/>
      <c r="AV49" s="893"/>
      <c r="AW49" s="1020"/>
      <c r="AX49" s="893"/>
      <c r="AY49" s="1020"/>
      <c r="AZ49" s="893"/>
      <c r="BA49" s="1020"/>
      <c r="BB49" s="893"/>
      <c r="BC49" s="1020"/>
      <c r="BD49" s="893"/>
    </row>
    <row r="50" spans="1:56" ht="13.5" customHeight="1">
      <c r="A50" s="46">
        <v>39</v>
      </c>
      <c r="B50" s="80" t="s">
        <v>810</v>
      </c>
      <c r="C50" s="81" t="s">
        <v>809</v>
      </c>
      <c r="D50" s="82" t="s">
        <v>559</v>
      </c>
      <c r="E50" s="65" t="str">
        <f t="shared" si="4"/>
        <v>-</v>
      </c>
      <c r="F50" s="75">
        <f ca="1" t="shared" si="0"/>
        <v>0</v>
      </c>
      <c r="G50" s="66"/>
      <c r="H50" s="66"/>
      <c r="I50" s="66"/>
      <c r="J50" s="66"/>
      <c r="K50" s="66"/>
      <c r="L50" s="524"/>
      <c r="M50" s="66"/>
      <c r="N50" s="67" t="s">
        <v>818</v>
      </c>
      <c r="O50" s="69">
        <f t="shared" si="2"/>
        <v>0</v>
      </c>
      <c r="P50" s="70" t="s">
        <v>84</v>
      </c>
      <c r="Q50" s="1020"/>
      <c r="R50" s="893"/>
      <c r="S50" s="1020"/>
      <c r="T50" s="893"/>
      <c r="U50" s="1020"/>
      <c r="V50" s="893"/>
      <c r="W50" s="1020"/>
      <c r="X50" s="893"/>
      <c r="Y50" s="1020"/>
      <c r="Z50" s="893"/>
      <c r="AA50" s="1020"/>
      <c r="AB50" s="893"/>
      <c r="AC50" s="1020"/>
      <c r="AD50" s="893"/>
      <c r="AE50" s="1020"/>
      <c r="AF50" s="893"/>
      <c r="AG50" s="1020"/>
      <c r="AH50" s="893"/>
      <c r="AI50" s="1020"/>
      <c r="AJ50" s="893"/>
      <c r="AK50" s="1020"/>
      <c r="AL50" s="893"/>
      <c r="AM50" s="1020"/>
      <c r="AN50" s="893"/>
      <c r="AO50" s="1020"/>
      <c r="AP50" s="893"/>
      <c r="AQ50" s="1020"/>
      <c r="AR50" s="893"/>
      <c r="AS50" s="1020"/>
      <c r="AT50" s="893"/>
      <c r="AU50" s="1020"/>
      <c r="AV50" s="893"/>
      <c r="AW50" s="1020"/>
      <c r="AX50" s="893"/>
      <c r="AY50" s="1020"/>
      <c r="AZ50" s="893"/>
      <c r="BA50" s="1020"/>
      <c r="BB50" s="893"/>
      <c r="BC50" s="1020"/>
      <c r="BD50" s="893"/>
    </row>
    <row r="51" spans="1:56" ht="13.5" customHeight="1">
      <c r="A51" s="46">
        <v>40</v>
      </c>
      <c r="B51" s="80" t="s">
        <v>89</v>
      </c>
      <c r="C51" s="81" t="s">
        <v>811</v>
      </c>
      <c r="D51" s="82" t="s">
        <v>816</v>
      </c>
      <c r="E51" s="65">
        <f t="shared" si="4"/>
        <v>16</v>
      </c>
      <c r="F51" s="76">
        <f ca="1" t="shared" si="0"/>
        <v>7</v>
      </c>
      <c r="G51" s="66">
        <v>1</v>
      </c>
      <c r="H51" s="66"/>
      <c r="I51" s="66"/>
      <c r="J51" s="66"/>
      <c r="K51" s="66"/>
      <c r="L51" s="524"/>
      <c r="M51" s="66"/>
      <c r="N51" s="67" t="s">
        <v>818</v>
      </c>
      <c r="O51" s="69">
        <f t="shared" si="2"/>
        <v>11</v>
      </c>
      <c r="P51" s="71">
        <f>'能力'!AQ84</f>
        <v>-5</v>
      </c>
      <c r="Q51" s="1020">
        <v>1</v>
      </c>
      <c r="R51" s="893"/>
      <c r="S51" s="1020">
        <v>1</v>
      </c>
      <c r="T51" s="893"/>
      <c r="U51" s="1020">
        <v>1</v>
      </c>
      <c r="V51" s="893"/>
      <c r="W51" s="1020">
        <v>1</v>
      </c>
      <c r="X51" s="893"/>
      <c r="Y51" s="1020">
        <v>1</v>
      </c>
      <c r="Z51" s="893"/>
      <c r="AA51" s="1020">
        <v>1</v>
      </c>
      <c r="AB51" s="893"/>
      <c r="AC51" s="1020">
        <v>1</v>
      </c>
      <c r="AD51" s="893"/>
      <c r="AE51" s="1020">
        <v>1</v>
      </c>
      <c r="AF51" s="893"/>
      <c r="AG51" s="1020">
        <v>1</v>
      </c>
      <c r="AH51" s="893"/>
      <c r="AI51" s="1020">
        <v>1</v>
      </c>
      <c r="AJ51" s="893"/>
      <c r="AK51" s="1020">
        <v>1</v>
      </c>
      <c r="AL51" s="893"/>
      <c r="AM51" s="1020"/>
      <c r="AN51" s="893"/>
      <c r="AO51" s="1020"/>
      <c r="AP51" s="893"/>
      <c r="AQ51" s="1020"/>
      <c r="AR51" s="893"/>
      <c r="AS51" s="1020"/>
      <c r="AT51" s="893"/>
      <c r="AU51" s="1020"/>
      <c r="AV51" s="893"/>
      <c r="AW51" s="1020"/>
      <c r="AX51" s="893"/>
      <c r="AY51" s="1020"/>
      <c r="AZ51" s="893"/>
      <c r="BA51" s="1020"/>
      <c r="BB51" s="893"/>
      <c r="BC51" s="1020"/>
      <c r="BD51" s="893"/>
    </row>
    <row r="52" spans="1:56" ht="13.5" customHeight="1">
      <c r="A52" s="46">
        <v>41</v>
      </c>
      <c r="B52" s="80" t="s">
        <v>95</v>
      </c>
      <c r="C52" s="81" t="s">
        <v>812</v>
      </c>
      <c r="D52" s="82" t="s">
        <v>557</v>
      </c>
      <c r="E52" s="65" t="str">
        <f t="shared" si="4"/>
        <v>-</v>
      </c>
      <c r="F52" s="72">
        <f ca="1" t="shared" si="0"/>
        <v>0</v>
      </c>
      <c r="G52" s="66"/>
      <c r="H52" s="66"/>
      <c r="I52" s="66"/>
      <c r="J52" s="66"/>
      <c r="K52" s="66"/>
      <c r="L52" s="524"/>
      <c r="M52" s="66"/>
      <c r="N52" s="68" t="s">
        <v>819</v>
      </c>
      <c r="O52" s="69">
        <f t="shared" si="2"/>
        <v>0</v>
      </c>
      <c r="P52" s="70" t="s">
        <v>84</v>
      </c>
      <c r="Q52" s="1020"/>
      <c r="R52" s="893"/>
      <c r="S52" s="1020"/>
      <c r="T52" s="893"/>
      <c r="U52" s="1020"/>
      <c r="V52" s="893"/>
      <c r="W52" s="1020"/>
      <c r="X52" s="893"/>
      <c r="Y52" s="1020"/>
      <c r="Z52" s="893"/>
      <c r="AA52" s="1020"/>
      <c r="AB52" s="893"/>
      <c r="AC52" s="1020"/>
      <c r="AD52" s="893"/>
      <c r="AE52" s="1020"/>
      <c r="AF52" s="893"/>
      <c r="AG52" s="1020"/>
      <c r="AH52" s="893"/>
      <c r="AI52" s="1020"/>
      <c r="AJ52" s="893"/>
      <c r="AK52" s="1020"/>
      <c r="AL52" s="893"/>
      <c r="AM52" s="1020"/>
      <c r="AN52" s="893"/>
      <c r="AO52" s="1020"/>
      <c r="AP52" s="893"/>
      <c r="AQ52" s="1020"/>
      <c r="AR52" s="893"/>
      <c r="AS52" s="1020"/>
      <c r="AT52" s="893"/>
      <c r="AU52" s="1020"/>
      <c r="AV52" s="893"/>
      <c r="AW52" s="1020"/>
      <c r="AX52" s="893"/>
      <c r="AY52" s="1020"/>
      <c r="AZ52" s="893"/>
      <c r="BA52" s="1020"/>
      <c r="BB52" s="893"/>
      <c r="BC52" s="1020"/>
      <c r="BD52" s="893"/>
    </row>
    <row r="53" spans="1:56" ht="13.5" customHeight="1">
      <c r="A53" s="46">
        <v>42</v>
      </c>
      <c r="B53" s="77" t="s">
        <v>813</v>
      </c>
      <c r="C53" s="78"/>
      <c r="D53" s="79"/>
      <c r="E53" s="65" t="str">
        <f t="shared" si="4"/>
        <v>-</v>
      </c>
      <c r="F53" s="525"/>
      <c r="G53" s="66"/>
      <c r="H53" s="66"/>
      <c r="I53" s="66"/>
      <c r="J53" s="66"/>
      <c r="K53" s="66"/>
      <c r="L53" s="524"/>
      <c r="M53" s="66"/>
      <c r="N53" s="68" t="s">
        <v>819</v>
      </c>
      <c r="O53" s="69">
        <f t="shared" si="2"/>
        <v>0</v>
      </c>
      <c r="P53" s="70" t="s">
        <v>84</v>
      </c>
      <c r="Q53" s="1020"/>
      <c r="R53" s="893"/>
      <c r="S53" s="1020"/>
      <c r="T53" s="893"/>
      <c r="U53" s="1020"/>
      <c r="V53" s="893"/>
      <c r="W53" s="1020"/>
      <c r="X53" s="893"/>
      <c r="Y53" s="1020"/>
      <c r="Z53" s="893"/>
      <c r="AA53" s="1020"/>
      <c r="AB53" s="893"/>
      <c r="AC53" s="1020"/>
      <c r="AD53" s="893"/>
      <c r="AE53" s="1020"/>
      <c r="AF53" s="893"/>
      <c r="AG53" s="1020"/>
      <c r="AH53" s="893"/>
      <c r="AI53" s="1020"/>
      <c r="AJ53" s="893"/>
      <c r="AK53" s="1020"/>
      <c r="AL53" s="893"/>
      <c r="AM53" s="1020"/>
      <c r="AN53" s="893"/>
      <c r="AO53" s="1020"/>
      <c r="AP53" s="893"/>
      <c r="AQ53" s="1020"/>
      <c r="AR53" s="893"/>
      <c r="AS53" s="1020"/>
      <c r="AT53" s="893"/>
      <c r="AU53" s="1020"/>
      <c r="AV53" s="893"/>
      <c r="AW53" s="1020"/>
      <c r="AX53" s="893"/>
      <c r="AY53" s="1020"/>
      <c r="AZ53" s="893"/>
      <c r="BA53" s="1020"/>
      <c r="BB53" s="893"/>
      <c r="BC53" s="1020"/>
      <c r="BD53" s="893"/>
    </row>
    <row r="54" spans="1:56" ht="13.5" customHeight="1">
      <c r="A54" s="46">
        <v>43</v>
      </c>
      <c r="B54" s="77"/>
      <c r="C54" s="78"/>
      <c r="D54" s="79"/>
      <c r="E54" s="65" t="str">
        <f t="shared" si="4"/>
        <v>-</v>
      </c>
      <c r="F54" s="525" t="e">
        <f ca="1" t="shared" si="5" ref="F54:F70">INDIRECT("R"&amp;ROW($E$3)&amp;"C"&amp;(COLUMN($E$3)+MATCH($D54,$E$2:$J$2,0)-1),FALSE)</f>
        <v>#N/A</v>
      </c>
      <c r="G54" s="66"/>
      <c r="H54" s="66"/>
      <c r="I54" s="66"/>
      <c r="J54" s="66"/>
      <c r="K54" s="66"/>
      <c r="L54" s="524"/>
      <c r="M54" s="66"/>
      <c r="N54" s="66"/>
      <c r="O54" s="69">
        <f t="shared" si="2"/>
        <v>0</v>
      </c>
      <c r="P54" s="70" t="s">
        <v>84</v>
      </c>
      <c r="Q54" s="1020"/>
      <c r="R54" s="893"/>
      <c r="S54" s="1020"/>
      <c r="T54" s="893"/>
      <c r="U54" s="1020"/>
      <c r="V54" s="893"/>
      <c r="W54" s="1020"/>
      <c r="X54" s="893"/>
      <c r="Y54" s="1020"/>
      <c r="Z54" s="893"/>
      <c r="AA54" s="1020"/>
      <c r="AB54" s="893"/>
      <c r="AC54" s="1020"/>
      <c r="AD54" s="893"/>
      <c r="AE54" s="1020"/>
      <c r="AF54" s="893"/>
      <c r="AG54" s="1020"/>
      <c r="AH54" s="893"/>
      <c r="AI54" s="1020"/>
      <c r="AJ54" s="893"/>
      <c r="AK54" s="1020"/>
      <c r="AL54" s="893"/>
      <c r="AM54" s="1020"/>
      <c r="AN54" s="893"/>
      <c r="AO54" s="1020"/>
      <c r="AP54" s="893"/>
      <c r="AQ54" s="1020"/>
      <c r="AR54" s="893"/>
      <c r="AS54" s="1020"/>
      <c r="AT54" s="893"/>
      <c r="AU54" s="1020"/>
      <c r="AV54" s="893"/>
      <c r="AW54" s="1020"/>
      <c r="AX54" s="893"/>
      <c r="AY54" s="1020"/>
      <c r="AZ54" s="893"/>
      <c r="BA54" s="1020"/>
      <c r="BB54" s="893"/>
      <c r="BC54" s="1020"/>
      <c r="BD54" s="893"/>
    </row>
    <row r="55" spans="1:56" ht="13.5" customHeight="1">
      <c r="A55" s="46">
        <v>44</v>
      </c>
      <c r="B55" s="77"/>
      <c r="C55" s="78"/>
      <c r="D55" s="79"/>
      <c r="E55" s="65" t="str">
        <f t="shared" si="4"/>
        <v>-</v>
      </c>
      <c r="F55" s="525" t="e">
        <f ca="1" t="shared" si="5"/>
        <v>#N/A</v>
      </c>
      <c r="G55" s="66"/>
      <c r="H55" s="66"/>
      <c r="I55" s="66"/>
      <c r="J55" s="66"/>
      <c r="K55" s="66"/>
      <c r="L55" s="524"/>
      <c r="M55" s="66"/>
      <c r="N55" s="66"/>
      <c r="O55" s="69">
        <f t="shared" si="2"/>
        <v>0</v>
      </c>
      <c r="P55" s="70" t="s">
        <v>84</v>
      </c>
      <c r="Q55" s="1020"/>
      <c r="R55" s="893"/>
      <c r="S55" s="1020"/>
      <c r="T55" s="893"/>
      <c r="U55" s="1020"/>
      <c r="V55" s="893"/>
      <c r="W55" s="1020"/>
      <c r="X55" s="893"/>
      <c r="Y55" s="1020"/>
      <c r="Z55" s="893"/>
      <c r="AA55" s="1020"/>
      <c r="AB55" s="893"/>
      <c r="AC55" s="1020"/>
      <c r="AD55" s="893"/>
      <c r="AE55" s="1020"/>
      <c r="AF55" s="893"/>
      <c r="AG55" s="1020"/>
      <c r="AH55" s="893"/>
      <c r="AI55" s="1020"/>
      <c r="AJ55" s="893"/>
      <c r="AK55" s="1020"/>
      <c r="AL55" s="893"/>
      <c r="AM55" s="1020"/>
      <c r="AN55" s="893"/>
      <c r="AO55" s="1020"/>
      <c r="AP55" s="893"/>
      <c r="AQ55" s="1020"/>
      <c r="AR55" s="893"/>
      <c r="AS55" s="1020"/>
      <c r="AT55" s="893"/>
      <c r="AU55" s="1020"/>
      <c r="AV55" s="893"/>
      <c r="AW55" s="1020"/>
      <c r="AX55" s="893"/>
      <c r="AY55" s="1020"/>
      <c r="AZ55" s="893"/>
      <c r="BA55" s="1020"/>
      <c r="BB55" s="893"/>
      <c r="BC55" s="1020"/>
      <c r="BD55" s="893"/>
    </row>
    <row r="56" spans="1:56" ht="13.5" customHeight="1">
      <c r="A56" s="46">
        <v>45</v>
      </c>
      <c r="B56" s="77"/>
      <c r="C56" s="78"/>
      <c r="D56" s="79"/>
      <c r="E56" s="65" t="str">
        <f t="shared" si="4"/>
        <v>-</v>
      </c>
      <c r="F56" s="525" t="e">
        <f ca="1" t="shared" si="5"/>
        <v>#N/A</v>
      </c>
      <c r="G56" s="66"/>
      <c r="H56" s="66"/>
      <c r="I56" s="66"/>
      <c r="J56" s="66"/>
      <c r="K56" s="66"/>
      <c r="L56" s="524"/>
      <c r="M56" s="66"/>
      <c r="N56" s="66"/>
      <c r="O56" s="69">
        <f t="shared" si="2"/>
        <v>0</v>
      </c>
      <c r="P56" s="70" t="s">
        <v>84</v>
      </c>
      <c r="Q56" s="1020"/>
      <c r="R56" s="893"/>
      <c r="S56" s="1020"/>
      <c r="T56" s="893"/>
      <c r="U56" s="1020"/>
      <c r="V56" s="893"/>
      <c r="W56" s="1020"/>
      <c r="X56" s="893"/>
      <c r="Y56" s="1020"/>
      <c r="Z56" s="893"/>
      <c r="AA56" s="1020"/>
      <c r="AB56" s="893"/>
      <c r="AC56" s="1020"/>
      <c r="AD56" s="893"/>
      <c r="AE56" s="1020"/>
      <c r="AF56" s="893"/>
      <c r="AG56" s="1020"/>
      <c r="AH56" s="893"/>
      <c r="AI56" s="1020"/>
      <c r="AJ56" s="893"/>
      <c r="AK56" s="1020"/>
      <c r="AL56" s="893"/>
      <c r="AM56" s="1020"/>
      <c r="AN56" s="893"/>
      <c r="AO56" s="1020"/>
      <c r="AP56" s="893"/>
      <c r="AQ56" s="1020"/>
      <c r="AR56" s="893"/>
      <c r="AS56" s="1020"/>
      <c r="AT56" s="893"/>
      <c r="AU56" s="1020"/>
      <c r="AV56" s="893"/>
      <c r="AW56" s="1020"/>
      <c r="AX56" s="893"/>
      <c r="AY56" s="1020"/>
      <c r="AZ56" s="893"/>
      <c r="BA56" s="1020"/>
      <c r="BB56" s="893"/>
      <c r="BC56" s="1020"/>
      <c r="BD56" s="893"/>
    </row>
    <row r="57" spans="1:56" ht="13.5" customHeight="1">
      <c r="A57" s="46">
        <v>46</v>
      </c>
      <c r="B57" s="77"/>
      <c r="C57" s="78"/>
      <c r="D57" s="79"/>
      <c r="E57" s="65" t="str">
        <f t="shared" si="4"/>
        <v>-</v>
      </c>
      <c r="F57" s="525" t="e">
        <f ca="1" t="shared" si="5"/>
        <v>#N/A</v>
      </c>
      <c r="G57" s="66"/>
      <c r="H57" s="66"/>
      <c r="I57" s="66"/>
      <c r="J57" s="66"/>
      <c r="K57" s="66"/>
      <c r="L57" s="524"/>
      <c r="M57" s="66"/>
      <c r="N57" s="66"/>
      <c r="O57" s="69">
        <f t="shared" si="2"/>
        <v>0</v>
      </c>
      <c r="P57" s="70" t="s">
        <v>84</v>
      </c>
      <c r="Q57" s="1020"/>
      <c r="R57" s="893"/>
      <c r="S57" s="1020"/>
      <c r="T57" s="893"/>
      <c r="U57" s="1020"/>
      <c r="V57" s="893"/>
      <c r="W57" s="1020"/>
      <c r="X57" s="893"/>
      <c r="Y57" s="1020"/>
      <c r="Z57" s="893"/>
      <c r="AA57" s="1020"/>
      <c r="AB57" s="893"/>
      <c r="AC57" s="1020"/>
      <c r="AD57" s="893"/>
      <c r="AE57" s="1020"/>
      <c r="AF57" s="893"/>
      <c r="AG57" s="1020"/>
      <c r="AH57" s="893"/>
      <c r="AI57" s="1020"/>
      <c r="AJ57" s="893"/>
      <c r="AK57" s="1020"/>
      <c r="AL57" s="893"/>
      <c r="AM57" s="1020"/>
      <c r="AN57" s="893"/>
      <c r="AO57" s="1020"/>
      <c r="AP57" s="893"/>
      <c r="AQ57" s="1020"/>
      <c r="AR57" s="893"/>
      <c r="AS57" s="1020"/>
      <c r="AT57" s="893"/>
      <c r="AU57" s="1020"/>
      <c r="AV57" s="893"/>
      <c r="AW57" s="1020"/>
      <c r="AX57" s="893"/>
      <c r="AY57" s="1020"/>
      <c r="AZ57" s="893"/>
      <c r="BA57" s="1020"/>
      <c r="BB57" s="893"/>
      <c r="BC57" s="1020"/>
      <c r="BD57" s="893"/>
    </row>
    <row r="58" spans="1:56" ht="13.5" customHeight="1">
      <c r="A58" s="46">
        <v>47</v>
      </c>
      <c r="B58" s="77"/>
      <c r="C58" s="78"/>
      <c r="D58" s="79"/>
      <c r="E58" s="65" t="str">
        <f t="shared" si="4"/>
        <v>-</v>
      </c>
      <c r="F58" s="525" t="e">
        <f ca="1" t="shared" si="5"/>
        <v>#N/A</v>
      </c>
      <c r="G58" s="66"/>
      <c r="H58" s="66"/>
      <c r="I58" s="66"/>
      <c r="J58" s="66"/>
      <c r="K58" s="66"/>
      <c r="L58" s="524"/>
      <c r="M58" s="66"/>
      <c r="N58" s="66"/>
      <c r="O58" s="69">
        <f t="shared" si="2"/>
        <v>0</v>
      </c>
      <c r="P58" s="70" t="s">
        <v>84</v>
      </c>
      <c r="Q58" s="1020"/>
      <c r="R58" s="893"/>
      <c r="S58" s="1020"/>
      <c r="T58" s="893"/>
      <c r="U58" s="1020"/>
      <c r="V58" s="893"/>
      <c r="W58" s="1020"/>
      <c r="X58" s="893"/>
      <c r="Y58" s="1020"/>
      <c r="Z58" s="893"/>
      <c r="AA58" s="1020"/>
      <c r="AB58" s="893"/>
      <c r="AC58" s="1020"/>
      <c r="AD58" s="893"/>
      <c r="AE58" s="1020"/>
      <c r="AF58" s="893"/>
      <c r="AG58" s="1020"/>
      <c r="AH58" s="893"/>
      <c r="AI58" s="1020"/>
      <c r="AJ58" s="893"/>
      <c r="AK58" s="1020"/>
      <c r="AL58" s="893"/>
      <c r="AM58" s="1020"/>
      <c r="AN58" s="893"/>
      <c r="AO58" s="1020"/>
      <c r="AP58" s="893"/>
      <c r="AQ58" s="1020"/>
      <c r="AR58" s="893"/>
      <c r="AS58" s="1020"/>
      <c r="AT58" s="893"/>
      <c r="AU58" s="1020"/>
      <c r="AV58" s="893"/>
      <c r="AW58" s="1020"/>
      <c r="AX58" s="893"/>
      <c r="AY58" s="1020"/>
      <c r="AZ58" s="893"/>
      <c r="BA58" s="1020"/>
      <c r="BB58" s="893"/>
      <c r="BC58" s="1020"/>
      <c r="BD58" s="893"/>
    </row>
    <row r="59" spans="1:56" ht="13.5" customHeight="1">
      <c r="A59" s="46">
        <v>48</v>
      </c>
      <c r="B59" s="77"/>
      <c r="C59" s="78"/>
      <c r="D59" s="79"/>
      <c r="E59" s="65" t="str">
        <f t="shared" si="4"/>
        <v>-</v>
      </c>
      <c r="F59" s="525" t="e">
        <f ca="1" t="shared" si="5"/>
        <v>#N/A</v>
      </c>
      <c r="G59" s="66"/>
      <c r="H59" s="66"/>
      <c r="I59" s="66"/>
      <c r="J59" s="66"/>
      <c r="K59" s="66"/>
      <c r="L59" s="524"/>
      <c r="M59" s="66"/>
      <c r="N59" s="66"/>
      <c r="O59" s="69">
        <f t="shared" si="2"/>
        <v>0</v>
      </c>
      <c r="P59" s="70" t="s">
        <v>84</v>
      </c>
      <c r="Q59" s="1020"/>
      <c r="R59" s="893"/>
      <c r="S59" s="1020"/>
      <c r="T59" s="893"/>
      <c r="U59" s="1020"/>
      <c r="V59" s="893"/>
      <c r="W59" s="1020"/>
      <c r="X59" s="893"/>
      <c r="Y59" s="1020"/>
      <c r="Z59" s="893"/>
      <c r="AA59" s="1020"/>
      <c r="AB59" s="893"/>
      <c r="AC59" s="1020"/>
      <c r="AD59" s="893"/>
      <c r="AE59" s="1020"/>
      <c r="AF59" s="893"/>
      <c r="AG59" s="1020"/>
      <c r="AH59" s="893"/>
      <c r="AI59" s="1020"/>
      <c r="AJ59" s="893"/>
      <c r="AK59" s="1020"/>
      <c r="AL59" s="893"/>
      <c r="AM59" s="1020"/>
      <c r="AN59" s="893"/>
      <c r="AO59" s="1020"/>
      <c r="AP59" s="893"/>
      <c r="AQ59" s="1020"/>
      <c r="AR59" s="893"/>
      <c r="AS59" s="1020"/>
      <c r="AT59" s="893"/>
      <c r="AU59" s="1020"/>
      <c r="AV59" s="893"/>
      <c r="AW59" s="1020"/>
      <c r="AX59" s="893"/>
      <c r="AY59" s="1020"/>
      <c r="AZ59" s="893"/>
      <c r="BA59" s="1020"/>
      <c r="BB59" s="893"/>
      <c r="BC59" s="1020"/>
      <c r="BD59" s="893"/>
    </row>
    <row r="60" spans="1:56" ht="13.5" customHeight="1">
      <c r="A60" s="46">
        <v>49</v>
      </c>
      <c r="B60" s="77"/>
      <c r="C60" s="78"/>
      <c r="D60" s="79"/>
      <c r="E60" s="65" t="str">
        <f t="shared" si="4"/>
        <v>-</v>
      </c>
      <c r="F60" s="525" t="e">
        <f ca="1" t="shared" si="5"/>
        <v>#N/A</v>
      </c>
      <c r="G60" s="66"/>
      <c r="H60" s="66"/>
      <c r="I60" s="66"/>
      <c r="J60" s="66"/>
      <c r="K60" s="66"/>
      <c r="L60" s="524"/>
      <c r="M60" s="66"/>
      <c r="N60" s="66"/>
      <c r="O60" s="69">
        <f t="shared" si="2"/>
        <v>0</v>
      </c>
      <c r="P60" s="70" t="s">
        <v>84</v>
      </c>
      <c r="Q60" s="1020"/>
      <c r="R60" s="893"/>
      <c r="S60" s="1020"/>
      <c r="T60" s="893"/>
      <c r="U60" s="1020"/>
      <c r="V60" s="893"/>
      <c r="W60" s="1020"/>
      <c r="X60" s="893"/>
      <c r="Y60" s="1020"/>
      <c r="Z60" s="893"/>
      <c r="AA60" s="1020"/>
      <c r="AB60" s="893"/>
      <c r="AC60" s="1020"/>
      <c r="AD60" s="893"/>
      <c r="AE60" s="1020"/>
      <c r="AF60" s="893"/>
      <c r="AG60" s="1020"/>
      <c r="AH60" s="893"/>
      <c r="AI60" s="1020"/>
      <c r="AJ60" s="893"/>
      <c r="AK60" s="1020"/>
      <c r="AL60" s="893"/>
      <c r="AM60" s="1020"/>
      <c r="AN60" s="893"/>
      <c r="AO60" s="1020"/>
      <c r="AP60" s="893"/>
      <c r="AQ60" s="1020"/>
      <c r="AR60" s="893"/>
      <c r="AS60" s="1020"/>
      <c r="AT60" s="893"/>
      <c r="AU60" s="1020"/>
      <c r="AV60" s="893"/>
      <c r="AW60" s="1020"/>
      <c r="AX60" s="893"/>
      <c r="AY60" s="1020"/>
      <c r="AZ60" s="893"/>
      <c r="BA60" s="1020"/>
      <c r="BB60" s="893"/>
      <c r="BC60" s="1020"/>
      <c r="BD60" s="893"/>
    </row>
    <row r="61" spans="1:56" ht="13.5" customHeight="1">
      <c r="A61" s="46">
        <v>50</v>
      </c>
      <c r="B61" s="77"/>
      <c r="C61" s="78"/>
      <c r="D61" s="79"/>
      <c r="E61" s="65" t="str">
        <f t="shared" si="4"/>
        <v>-</v>
      </c>
      <c r="F61" s="525" t="e">
        <f ca="1" t="shared" si="5"/>
        <v>#N/A</v>
      </c>
      <c r="G61" s="66"/>
      <c r="H61" s="66"/>
      <c r="I61" s="66"/>
      <c r="J61" s="66"/>
      <c r="K61" s="66"/>
      <c r="L61" s="524"/>
      <c r="M61" s="66"/>
      <c r="N61" s="66"/>
      <c r="O61" s="69">
        <f t="shared" si="2"/>
        <v>0</v>
      </c>
      <c r="P61" s="70" t="s">
        <v>84</v>
      </c>
      <c r="Q61" s="1020"/>
      <c r="R61" s="893"/>
      <c r="S61" s="1020"/>
      <c r="T61" s="893"/>
      <c r="U61" s="1020"/>
      <c r="V61" s="893"/>
      <c r="W61" s="1020"/>
      <c r="X61" s="893"/>
      <c r="Y61" s="1020"/>
      <c r="Z61" s="893"/>
      <c r="AA61" s="1020"/>
      <c r="AB61" s="893"/>
      <c r="AC61" s="1020"/>
      <c r="AD61" s="893"/>
      <c r="AE61" s="1020"/>
      <c r="AF61" s="893"/>
      <c r="AG61" s="1020"/>
      <c r="AH61" s="893"/>
      <c r="AI61" s="1020"/>
      <c r="AJ61" s="893"/>
      <c r="AK61" s="1020"/>
      <c r="AL61" s="893"/>
      <c r="AM61" s="1020"/>
      <c r="AN61" s="893"/>
      <c r="AO61" s="1020"/>
      <c r="AP61" s="893"/>
      <c r="AQ61" s="1020"/>
      <c r="AR61" s="893"/>
      <c r="AS61" s="1020"/>
      <c r="AT61" s="893"/>
      <c r="AU61" s="1020"/>
      <c r="AV61" s="893"/>
      <c r="AW61" s="1020"/>
      <c r="AX61" s="893"/>
      <c r="AY61" s="1020"/>
      <c r="AZ61" s="893"/>
      <c r="BA61" s="1020"/>
      <c r="BB61" s="893"/>
      <c r="BC61" s="1020"/>
      <c r="BD61" s="893"/>
    </row>
    <row r="62" spans="1:56" ht="13.5" customHeight="1">
      <c r="A62" s="46">
        <v>51</v>
      </c>
      <c r="B62" s="77"/>
      <c r="C62" s="78"/>
      <c r="D62" s="79"/>
      <c r="E62" s="65" t="str">
        <f t="shared" si="4"/>
        <v>-</v>
      </c>
      <c r="F62" s="525" t="e">
        <f ca="1" t="shared" si="5"/>
        <v>#N/A</v>
      </c>
      <c r="G62" s="66"/>
      <c r="H62" s="66"/>
      <c r="I62" s="66"/>
      <c r="J62" s="66"/>
      <c r="K62" s="66"/>
      <c r="L62" s="524"/>
      <c r="M62" s="66"/>
      <c r="N62" s="66"/>
      <c r="O62" s="69">
        <f t="shared" si="2"/>
        <v>0</v>
      </c>
      <c r="P62" s="70" t="s">
        <v>84</v>
      </c>
      <c r="Q62" s="1020"/>
      <c r="R62" s="893"/>
      <c r="S62" s="1020"/>
      <c r="T62" s="893"/>
      <c r="U62" s="1020"/>
      <c r="V62" s="893"/>
      <c r="W62" s="1020"/>
      <c r="X62" s="893"/>
      <c r="Y62" s="1020"/>
      <c r="Z62" s="893"/>
      <c r="AA62" s="1020"/>
      <c r="AB62" s="893"/>
      <c r="AC62" s="1020"/>
      <c r="AD62" s="893"/>
      <c r="AE62" s="1020"/>
      <c r="AF62" s="893"/>
      <c r="AG62" s="1020"/>
      <c r="AH62" s="893"/>
      <c r="AI62" s="1020"/>
      <c r="AJ62" s="893"/>
      <c r="AK62" s="1020"/>
      <c r="AL62" s="893"/>
      <c r="AM62" s="1020"/>
      <c r="AN62" s="893"/>
      <c r="AO62" s="1020"/>
      <c r="AP62" s="893"/>
      <c r="AQ62" s="1020"/>
      <c r="AR62" s="893"/>
      <c r="AS62" s="1020"/>
      <c r="AT62" s="893"/>
      <c r="AU62" s="1020"/>
      <c r="AV62" s="893"/>
      <c r="AW62" s="1020"/>
      <c r="AX62" s="893"/>
      <c r="AY62" s="1020"/>
      <c r="AZ62" s="893"/>
      <c r="BA62" s="1020"/>
      <c r="BB62" s="893"/>
      <c r="BC62" s="1020"/>
      <c r="BD62" s="893"/>
    </row>
    <row r="63" spans="1:56" ht="13.5" customHeight="1">
      <c r="A63" s="46">
        <v>52</v>
      </c>
      <c r="B63" s="77"/>
      <c r="C63" s="78"/>
      <c r="D63" s="79"/>
      <c r="E63" s="65" t="str">
        <f t="shared" si="4"/>
        <v>-</v>
      </c>
      <c r="F63" s="525" t="e">
        <f ca="1" t="shared" si="5"/>
        <v>#N/A</v>
      </c>
      <c r="G63" s="66"/>
      <c r="H63" s="66"/>
      <c r="I63" s="66"/>
      <c r="J63" s="66"/>
      <c r="K63" s="66"/>
      <c r="L63" s="524"/>
      <c r="M63" s="66"/>
      <c r="N63" s="66"/>
      <c r="O63" s="69">
        <f t="shared" si="2"/>
        <v>0</v>
      </c>
      <c r="P63" s="70" t="s">
        <v>84</v>
      </c>
      <c r="Q63" s="1020"/>
      <c r="R63" s="893"/>
      <c r="S63" s="1020"/>
      <c r="T63" s="893"/>
      <c r="U63" s="1020"/>
      <c r="V63" s="893"/>
      <c r="W63" s="1020"/>
      <c r="X63" s="893"/>
      <c r="Y63" s="1020"/>
      <c r="Z63" s="893"/>
      <c r="AA63" s="1020"/>
      <c r="AB63" s="893"/>
      <c r="AC63" s="1020"/>
      <c r="AD63" s="893"/>
      <c r="AE63" s="1020"/>
      <c r="AF63" s="893"/>
      <c r="AG63" s="1020"/>
      <c r="AH63" s="893"/>
      <c r="AI63" s="1020"/>
      <c r="AJ63" s="893"/>
      <c r="AK63" s="1020"/>
      <c r="AL63" s="893"/>
      <c r="AM63" s="1020"/>
      <c r="AN63" s="893"/>
      <c r="AO63" s="1020"/>
      <c r="AP63" s="893"/>
      <c r="AQ63" s="1020"/>
      <c r="AR63" s="893"/>
      <c r="AS63" s="1020"/>
      <c r="AT63" s="893"/>
      <c r="AU63" s="1020"/>
      <c r="AV63" s="893"/>
      <c r="AW63" s="1020"/>
      <c r="AX63" s="893"/>
      <c r="AY63" s="1020"/>
      <c r="AZ63" s="893"/>
      <c r="BA63" s="1020"/>
      <c r="BB63" s="893"/>
      <c r="BC63" s="1020"/>
      <c r="BD63" s="893"/>
    </row>
    <row r="64" spans="1:56" ht="13.5" customHeight="1">
      <c r="A64" s="46">
        <v>53</v>
      </c>
      <c r="B64" s="77"/>
      <c r="C64" s="78"/>
      <c r="D64" s="79"/>
      <c r="E64" s="65" t="str">
        <f t="shared" si="4"/>
        <v>-</v>
      </c>
      <c r="F64" s="525" t="e">
        <f ca="1" t="shared" si="5"/>
        <v>#N/A</v>
      </c>
      <c r="G64" s="66"/>
      <c r="H64" s="66"/>
      <c r="I64" s="66"/>
      <c r="J64" s="66"/>
      <c r="K64" s="66"/>
      <c r="L64" s="524"/>
      <c r="M64" s="66"/>
      <c r="N64" s="66"/>
      <c r="O64" s="69">
        <f t="shared" si="2"/>
        <v>0</v>
      </c>
      <c r="P64" s="70" t="s">
        <v>84</v>
      </c>
      <c r="Q64" s="1020"/>
      <c r="R64" s="893"/>
      <c r="S64" s="1020"/>
      <c r="T64" s="893"/>
      <c r="U64" s="1020"/>
      <c r="V64" s="893"/>
      <c r="W64" s="1020"/>
      <c r="X64" s="893"/>
      <c r="Y64" s="1020"/>
      <c r="Z64" s="893"/>
      <c r="AA64" s="1020"/>
      <c r="AB64" s="893"/>
      <c r="AC64" s="1020"/>
      <c r="AD64" s="893"/>
      <c r="AE64" s="1020"/>
      <c r="AF64" s="893"/>
      <c r="AG64" s="1020"/>
      <c r="AH64" s="893"/>
      <c r="AI64" s="1020"/>
      <c r="AJ64" s="893"/>
      <c r="AK64" s="1020"/>
      <c r="AL64" s="893"/>
      <c r="AM64" s="1020"/>
      <c r="AN64" s="893"/>
      <c r="AO64" s="1020"/>
      <c r="AP64" s="893"/>
      <c r="AQ64" s="1020"/>
      <c r="AR64" s="893"/>
      <c r="AS64" s="1020"/>
      <c r="AT64" s="893"/>
      <c r="AU64" s="1020"/>
      <c r="AV64" s="893"/>
      <c r="AW64" s="1020"/>
      <c r="AX64" s="893"/>
      <c r="AY64" s="1020"/>
      <c r="AZ64" s="893"/>
      <c r="BA64" s="1020"/>
      <c r="BB64" s="893"/>
      <c r="BC64" s="1020"/>
      <c r="BD64" s="893"/>
    </row>
    <row r="65" spans="1:56" ht="13.5" customHeight="1">
      <c r="A65" s="46">
        <v>54</v>
      </c>
      <c r="B65" s="77"/>
      <c r="C65" s="78"/>
      <c r="D65" s="79"/>
      <c r="E65" s="65" t="str">
        <f t="shared" si="4"/>
        <v>-</v>
      </c>
      <c r="F65" s="525" t="e">
        <f ca="1" t="shared" si="5"/>
        <v>#N/A</v>
      </c>
      <c r="G65" s="66"/>
      <c r="H65" s="66"/>
      <c r="I65" s="66"/>
      <c r="J65" s="66"/>
      <c r="K65" s="66"/>
      <c r="L65" s="524"/>
      <c r="M65" s="66"/>
      <c r="N65" s="66"/>
      <c r="O65" s="69">
        <f t="shared" si="2"/>
        <v>0</v>
      </c>
      <c r="P65" s="70" t="s">
        <v>84</v>
      </c>
      <c r="Q65" s="1020"/>
      <c r="R65" s="893"/>
      <c r="S65" s="1020"/>
      <c r="T65" s="893"/>
      <c r="U65" s="1020"/>
      <c r="V65" s="893"/>
      <c r="W65" s="1020"/>
      <c r="X65" s="893"/>
      <c r="Y65" s="1020"/>
      <c r="Z65" s="893"/>
      <c r="AA65" s="1020"/>
      <c r="AB65" s="893"/>
      <c r="AC65" s="1020"/>
      <c r="AD65" s="893"/>
      <c r="AE65" s="1020"/>
      <c r="AF65" s="893"/>
      <c r="AG65" s="1020"/>
      <c r="AH65" s="893"/>
      <c r="AI65" s="1020"/>
      <c r="AJ65" s="893"/>
      <c r="AK65" s="1020"/>
      <c r="AL65" s="893"/>
      <c r="AM65" s="1020"/>
      <c r="AN65" s="893"/>
      <c r="AO65" s="1020"/>
      <c r="AP65" s="893"/>
      <c r="AQ65" s="1020"/>
      <c r="AR65" s="893"/>
      <c r="AS65" s="1020"/>
      <c r="AT65" s="893"/>
      <c r="AU65" s="1020"/>
      <c r="AV65" s="893"/>
      <c r="AW65" s="1020"/>
      <c r="AX65" s="893"/>
      <c r="AY65" s="1020"/>
      <c r="AZ65" s="893"/>
      <c r="BA65" s="1020"/>
      <c r="BB65" s="893"/>
      <c r="BC65" s="1020"/>
      <c r="BD65" s="893"/>
    </row>
    <row r="66" spans="1:56" ht="13.5" customHeight="1">
      <c r="A66" s="46">
        <v>55</v>
      </c>
      <c r="B66" s="77"/>
      <c r="C66" s="78"/>
      <c r="D66" s="79"/>
      <c r="E66" s="65" t="str">
        <f t="shared" si="4"/>
        <v>-</v>
      </c>
      <c r="F66" s="525" t="e">
        <f ca="1" t="shared" si="5"/>
        <v>#N/A</v>
      </c>
      <c r="G66" s="66"/>
      <c r="H66" s="66"/>
      <c r="I66" s="66"/>
      <c r="J66" s="66"/>
      <c r="K66" s="66"/>
      <c r="L66" s="524"/>
      <c r="M66" s="66"/>
      <c r="N66" s="66"/>
      <c r="O66" s="69">
        <f t="shared" si="2"/>
        <v>0</v>
      </c>
      <c r="P66" s="70" t="s">
        <v>84</v>
      </c>
      <c r="Q66" s="1020"/>
      <c r="R66" s="893"/>
      <c r="S66" s="1020"/>
      <c r="T66" s="893"/>
      <c r="U66" s="1020"/>
      <c r="V66" s="893"/>
      <c r="W66" s="1020"/>
      <c r="X66" s="893"/>
      <c r="Y66" s="1020"/>
      <c r="Z66" s="893"/>
      <c r="AA66" s="1020"/>
      <c r="AB66" s="893"/>
      <c r="AC66" s="1020"/>
      <c r="AD66" s="893"/>
      <c r="AE66" s="1020"/>
      <c r="AF66" s="893"/>
      <c r="AG66" s="1020"/>
      <c r="AH66" s="893"/>
      <c r="AI66" s="1020"/>
      <c r="AJ66" s="893"/>
      <c r="AK66" s="1020"/>
      <c r="AL66" s="893"/>
      <c r="AM66" s="1020"/>
      <c r="AN66" s="893"/>
      <c r="AO66" s="1020"/>
      <c r="AP66" s="893"/>
      <c r="AQ66" s="1020"/>
      <c r="AR66" s="893"/>
      <c r="AS66" s="1020"/>
      <c r="AT66" s="893"/>
      <c r="AU66" s="1020"/>
      <c r="AV66" s="893"/>
      <c r="AW66" s="1020"/>
      <c r="AX66" s="893"/>
      <c r="AY66" s="1020"/>
      <c r="AZ66" s="893"/>
      <c r="BA66" s="1020"/>
      <c r="BB66" s="893"/>
      <c r="BC66" s="1020"/>
      <c r="BD66" s="893"/>
    </row>
    <row r="67" spans="1:56" ht="13.5" customHeight="1">
      <c r="A67" s="46">
        <v>56</v>
      </c>
      <c r="B67" s="77"/>
      <c r="C67" s="78"/>
      <c r="D67" s="79"/>
      <c r="E67" s="65" t="str">
        <f t="shared" si="4"/>
        <v>-</v>
      </c>
      <c r="F67" s="525" t="e">
        <f ca="1" t="shared" si="5"/>
        <v>#N/A</v>
      </c>
      <c r="G67" s="66"/>
      <c r="H67" s="66"/>
      <c r="I67" s="66"/>
      <c r="J67" s="66"/>
      <c r="K67" s="66"/>
      <c r="L67" s="524"/>
      <c r="M67" s="66"/>
      <c r="N67" s="66"/>
      <c r="O67" s="69">
        <f t="shared" si="2"/>
        <v>0</v>
      </c>
      <c r="P67" s="70" t="s">
        <v>84</v>
      </c>
      <c r="Q67" s="1020"/>
      <c r="R67" s="893"/>
      <c r="S67" s="1020"/>
      <c r="T67" s="893"/>
      <c r="U67" s="1020"/>
      <c r="V67" s="893"/>
      <c r="W67" s="1020"/>
      <c r="X67" s="893"/>
      <c r="Y67" s="1020"/>
      <c r="Z67" s="893"/>
      <c r="AA67" s="1020"/>
      <c r="AB67" s="893"/>
      <c r="AC67" s="1020"/>
      <c r="AD67" s="893"/>
      <c r="AE67" s="1020"/>
      <c r="AF67" s="893"/>
      <c r="AG67" s="1020"/>
      <c r="AH67" s="893"/>
      <c r="AI67" s="1020"/>
      <c r="AJ67" s="893"/>
      <c r="AK67" s="1020"/>
      <c r="AL67" s="893"/>
      <c r="AM67" s="1020"/>
      <c r="AN67" s="893"/>
      <c r="AO67" s="1020"/>
      <c r="AP67" s="893"/>
      <c r="AQ67" s="1020"/>
      <c r="AR67" s="893"/>
      <c r="AS67" s="1020"/>
      <c r="AT67" s="893"/>
      <c r="AU67" s="1020"/>
      <c r="AV67" s="893"/>
      <c r="AW67" s="1020"/>
      <c r="AX67" s="893"/>
      <c r="AY67" s="1020"/>
      <c r="AZ67" s="893"/>
      <c r="BA67" s="1020"/>
      <c r="BB67" s="893"/>
      <c r="BC67" s="1020"/>
      <c r="BD67" s="893"/>
    </row>
    <row r="68" spans="1:56" ht="13.5" customHeight="1">
      <c r="A68" s="46">
        <v>57</v>
      </c>
      <c r="B68" s="80"/>
      <c r="C68" s="81"/>
      <c r="D68" s="79"/>
      <c r="E68" s="65" t="str">
        <f t="shared" si="4"/>
        <v>-</v>
      </c>
      <c r="F68" s="525" t="e">
        <f ca="1" t="shared" si="5"/>
        <v>#N/A</v>
      </c>
      <c r="G68" s="66"/>
      <c r="H68" s="66"/>
      <c r="I68" s="66"/>
      <c r="J68" s="66"/>
      <c r="K68" s="66"/>
      <c r="L68" s="524"/>
      <c r="M68" s="66"/>
      <c r="N68" s="66"/>
      <c r="O68" s="69">
        <f t="shared" si="2"/>
        <v>0</v>
      </c>
      <c r="P68" s="70" t="s">
        <v>547</v>
      </c>
      <c r="Q68" s="1020"/>
      <c r="R68" s="893"/>
      <c r="S68" s="1020"/>
      <c r="T68" s="893"/>
      <c r="U68" s="1020"/>
      <c r="V68" s="893"/>
      <c r="W68" s="1020"/>
      <c r="X68" s="893"/>
      <c r="Y68" s="1020"/>
      <c r="Z68" s="893"/>
      <c r="AA68" s="1020"/>
      <c r="AB68" s="893"/>
      <c r="AC68" s="1020"/>
      <c r="AD68" s="893"/>
      <c r="AE68" s="1020"/>
      <c r="AF68" s="893"/>
      <c r="AG68" s="1020"/>
      <c r="AH68" s="893"/>
      <c r="AI68" s="1020"/>
      <c r="AJ68" s="893"/>
      <c r="AK68" s="1020"/>
      <c r="AL68" s="893"/>
      <c r="AM68" s="1020"/>
      <c r="AN68" s="893"/>
      <c r="AO68" s="1020"/>
      <c r="AP68" s="893"/>
      <c r="AQ68" s="1020"/>
      <c r="AR68" s="893"/>
      <c r="AS68" s="1020"/>
      <c r="AT68" s="893"/>
      <c r="AU68" s="1020"/>
      <c r="AV68" s="893"/>
      <c r="AW68" s="1020"/>
      <c r="AX68" s="893"/>
      <c r="AY68" s="1020"/>
      <c r="AZ68" s="893"/>
      <c r="BA68" s="1020"/>
      <c r="BB68" s="893"/>
      <c r="BC68" s="1020"/>
      <c r="BD68" s="893"/>
    </row>
    <row r="69" spans="1:56" ht="13.5" customHeight="1">
      <c r="A69" s="46">
        <v>58</v>
      </c>
      <c r="B69" s="77"/>
      <c r="C69" s="78"/>
      <c r="D69" s="79"/>
      <c r="E69" s="65" t="str">
        <f t="shared" si="4"/>
        <v>-</v>
      </c>
      <c r="F69" s="525" t="e">
        <f ca="1" t="shared" si="5"/>
        <v>#N/A</v>
      </c>
      <c r="G69" s="66"/>
      <c r="H69" s="66"/>
      <c r="I69" s="66"/>
      <c r="J69" s="66"/>
      <c r="K69" s="66"/>
      <c r="L69" s="524"/>
      <c r="M69" s="66"/>
      <c r="N69" s="66"/>
      <c r="O69" s="69">
        <f t="shared" si="2"/>
        <v>0</v>
      </c>
      <c r="P69" s="70" t="s">
        <v>84</v>
      </c>
      <c r="Q69" s="1020"/>
      <c r="R69" s="893"/>
      <c r="S69" s="1020"/>
      <c r="T69" s="893"/>
      <c r="U69" s="1020"/>
      <c r="V69" s="893"/>
      <c r="W69" s="1020"/>
      <c r="X69" s="893"/>
      <c r="Y69" s="1020"/>
      <c r="Z69" s="893"/>
      <c r="AA69" s="1020"/>
      <c r="AB69" s="893"/>
      <c r="AC69" s="1020"/>
      <c r="AD69" s="893"/>
      <c r="AE69" s="1020"/>
      <c r="AF69" s="893"/>
      <c r="AG69" s="1020"/>
      <c r="AH69" s="893"/>
      <c r="AI69" s="1020"/>
      <c r="AJ69" s="893"/>
      <c r="AK69" s="1020"/>
      <c r="AL69" s="893"/>
      <c r="AM69" s="1020"/>
      <c r="AN69" s="893"/>
      <c r="AO69" s="1020"/>
      <c r="AP69" s="893"/>
      <c r="AQ69" s="1020"/>
      <c r="AR69" s="893"/>
      <c r="AS69" s="1020"/>
      <c r="AT69" s="893"/>
      <c r="AU69" s="1020"/>
      <c r="AV69" s="893"/>
      <c r="AW69" s="1020"/>
      <c r="AX69" s="893"/>
      <c r="AY69" s="1020"/>
      <c r="AZ69" s="893"/>
      <c r="BA69" s="1020"/>
      <c r="BB69" s="893"/>
      <c r="BC69" s="1020"/>
      <c r="BD69" s="893"/>
    </row>
    <row r="70" spans="1:56" ht="13.5" customHeight="1">
      <c r="A70" s="47">
        <v>59</v>
      </c>
      <c r="B70" s="77"/>
      <c r="C70" s="78"/>
      <c r="D70" s="79"/>
      <c r="E70" s="65" t="str">
        <f t="shared" si="4"/>
        <v>-</v>
      </c>
      <c r="F70" s="525" t="e">
        <f ca="1" t="shared" si="5"/>
        <v>#N/A</v>
      </c>
      <c r="G70" s="66"/>
      <c r="H70" s="66"/>
      <c r="I70" s="66"/>
      <c r="J70" s="66"/>
      <c r="K70" s="66"/>
      <c r="L70" s="524"/>
      <c r="M70" s="66"/>
      <c r="N70" s="66"/>
      <c r="O70" s="69">
        <f t="shared" si="2"/>
        <v>0</v>
      </c>
      <c r="P70" s="70" t="s">
        <v>84</v>
      </c>
      <c r="Q70" s="1020"/>
      <c r="R70" s="893"/>
      <c r="S70" s="1020"/>
      <c r="T70" s="893"/>
      <c r="U70" s="1020"/>
      <c r="V70" s="893"/>
      <c r="W70" s="1020"/>
      <c r="X70" s="893"/>
      <c r="Y70" s="1020"/>
      <c r="Z70" s="893"/>
      <c r="AA70" s="1020"/>
      <c r="AB70" s="893"/>
      <c r="AC70" s="1020"/>
      <c r="AD70" s="893"/>
      <c r="AE70" s="1020"/>
      <c r="AF70" s="893"/>
      <c r="AG70" s="1020"/>
      <c r="AH70" s="893"/>
      <c r="AI70" s="1020"/>
      <c r="AJ70" s="893"/>
      <c r="AK70" s="1020"/>
      <c r="AL70" s="893"/>
      <c r="AM70" s="1020"/>
      <c r="AN70" s="893"/>
      <c r="AO70" s="1020"/>
      <c r="AP70" s="893"/>
      <c r="AQ70" s="1020"/>
      <c r="AR70" s="893"/>
      <c r="AS70" s="1020"/>
      <c r="AT70" s="893"/>
      <c r="AU70" s="1020"/>
      <c r="AV70" s="893"/>
      <c r="AW70" s="1020"/>
      <c r="AX70" s="893"/>
      <c r="AY70" s="1020"/>
      <c r="AZ70" s="893"/>
      <c r="BA70" s="1020"/>
      <c r="BB70" s="893"/>
      <c r="BC70" s="1020"/>
      <c r="BD70" s="893"/>
    </row>
    <row r="71" ht="0.75" customHeight="1">
      <c r="R71" s="522"/>
    </row>
    <row r="72" spans="1:56" ht="12" thickBot="1">
      <c r="A72" s="29">
        <v>60</v>
      </c>
      <c r="O72" s="296"/>
      <c r="P72" s="289" t="s">
        <v>156</v>
      </c>
      <c r="Q72" s="995" t="str">
        <f>SUM(Q12:R70)&amp;"/"&amp;Q7</f>
        <v>5/5</v>
      </c>
      <c r="R72" s="992"/>
      <c r="S72" s="991" t="str">
        <f>SUM(S12:T70)&amp;"/"&amp;S7</f>
        <v>5/5</v>
      </c>
      <c r="T72" s="992"/>
      <c r="U72" s="994" t="str">
        <f>SUM(U12:V70)&amp;"/"&amp;U7</f>
        <v>5/5</v>
      </c>
      <c r="V72" s="994"/>
      <c r="W72" s="991" t="str">
        <f>SUM(W12:X70)&amp;"/"&amp;W7</f>
        <v>5/5</v>
      </c>
      <c r="X72" s="992"/>
      <c r="Y72" s="991" t="str">
        <f>SUM(Y12:Z70)&amp;"/"&amp;Y7</f>
        <v>5/5</v>
      </c>
      <c r="Z72" s="993"/>
      <c r="AA72" s="995" t="str">
        <f>SUM(AA12:AB70)&amp;"/"&amp;AA7</f>
        <v>5/5</v>
      </c>
      <c r="AB72" s="992"/>
      <c r="AC72" s="991" t="str">
        <f>SUM(AC12:AD70)&amp;"/"&amp;AC7</f>
        <v>5/5</v>
      </c>
      <c r="AD72" s="992"/>
      <c r="AE72" s="991" t="str">
        <f>SUM(AE12:AF70)&amp;"/"&amp;AE7</f>
        <v>5/5</v>
      </c>
      <c r="AF72" s="992"/>
      <c r="AG72" s="991" t="str">
        <f>SUM(AG12:AH70)&amp;"/"&amp;AG7</f>
        <v>5/5</v>
      </c>
      <c r="AH72" s="992"/>
      <c r="AI72" s="991" t="str">
        <f>SUM(AI12:AJ70)&amp;"/"&amp;AI7</f>
        <v>5/5</v>
      </c>
      <c r="AJ72" s="993"/>
      <c r="AK72" s="995" t="str">
        <f>SUM(AK12:AL70)&amp;"/"&amp;AK7</f>
        <v>5/5</v>
      </c>
      <c r="AL72" s="992"/>
      <c r="AM72" s="991" t="str">
        <f>SUM(AM12:AN70)&amp;"/"&amp;AM7</f>
        <v>0/</v>
      </c>
      <c r="AN72" s="992"/>
      <c r="AO72" s="991" t="str">
        <f>SUM(AO12:AP70)&amp;"/"&amp;AO7</f>
        <v>0/</v>
      </c>
      <c r="AP72" s="992"/>
      <c r="AQ72" s="991" t="str">
        <f>SUM(AQ12:AR70)&amp;"/"&amp;AQ7</f>
        <v>0/</v>
      </c>
      <c r="AR72" s="992"/>
      <c r="AS72" s="991" t="str">
        <f>SUM(AS12:AT70)&amp;"/"&amp;AS7</f>
        <v>0/</v>
      </c>
      <c r="AT72" s="993"/>
      <c r="AU72" s="994" t="str">
        <f>SUM(AU12:AV70)&amp;"/"&amp;AU7</f>
        <v>0/</v>
      </c>
      <c r="AV72" s="992"/>
      <c r="AW72" s="991" t="str">
        <f>SUM(AW12:AX70)&amp;"/"&amp;AW7</f>
        <v>0/</v>
      </c>
      <c r="AX72" s="992"/>
      <c r="AY72" s="991" t="str">
        <f>SUM(AY12:AZ70)&amp;"/"&amp;AY7</f>
        <v>0/</v>
      </c>
      <c r="AZ72" s="992"/>
      <c r="BA72" s="991" t="str">
        <f>SUM(BA12:BB70)&amp;"/"&amp;BA7</f>
        <v>0/</v>
      </c>
      <c r="BB72" s="992"/>
      <c r="BC72" s="991" t="str">
        <f>SUM(BC12:BD70)&amp;"/"&amp;BC7</f>
        <v>0/</v>
      </c>
      <c r="BD72" s="993"/>
    </row>
    <row r="73" spans="17:56" ht="11.25">
      <c r="Q73" s="962" t="s">
        <v>527</v>
      </c>
      <c r="R73" s="961"/>
      <c r="S73" s="960" t="s">
        <v>528</v>
      </c>
      <c r="T73" s="961"/>
      <c r="U73" s="960" t="s">
        <v>529</v>
      </c>
      <c r="V73" s="961"/>
      <c r="W73" s="960" t="s">
        <v>530</v>
      </c>
      <c r="X73" s="961"/>
      <c r="Y73" s="960" t="s">
        <v>531</v>
      </c>
      <c r="Z73" s="972"/>
      <c r="AA73" s="962" t="s">
        <v>532</v>
      </c>
      <c r="AB73" s="961"/>
      <c r="AC73" s="960" t="s">
        <v>533</v>
      </c>
      <c r="AD73" s="961"/>
      <c r="AE73" s="960" t="s">
        <v>534</v>
      </c>
      <c r="AF73" s="961"/>
      <c r="AG73" s="960" t="s">
        <v>535</v>
      </c>
      <c r="AH73" s="961"/>
      <c r="AI73" s="960" t="s">
        <v>536</v>
      </c>
      <c r="AJ73" s="972"/>
      <c r="AK73" s="962" t="s">
        <v>537</v>
      </c>
      <c r="AL73" s="961"/>
      <c r="AM73" s="960" t="s">
        <v>538</v>
      </c>
      <c r="AN73" s="961"/>
      <c r="AO73" s="960" t="s">
        <v>539</v>
      </c>
      <c r="AP73" s="961"/>
      <c r="AQ73" s="960" t="s">
        <v>540</v>
      </c>
      <c r="AR73" s="961"/>
      <c r="AS73" s="960" t="s">
        <v>541</v>
      </c>
      <c r="AT73" s="972"/>
      <c r="AU73" s="962" t="s">
        <v>542</v>
      </c>
      <c r="AV73" s="961"/>
      <c r="AW73" s="960" t="s">
        <v>543</v>
      </c>
      <c r="AX73" s="961"/>
      <c r="AY73" s="960" t="s">
        <v>544</v>
      </c>
      <c r="AZ73" s="961"/>
      <c r="BA73" s="960" t="s">
        <v>545</v>
      </c>
      <c r="BB73" s="961"/>
      <c r="BC73" s="960" t="s">
        <v>546</v>
      </c>
      <c r="BD73" s="972"/>
    </row>
    <row r="74" spans="17:56" ht="11.25">
      <c r="Q74" s="966"/>
      <c r="R74" s="967"/>
      <c r="S74" s="970"/>
      <c r="T74" s="967"/>
      <c r="U74" s="970"/>
      <c r="V74" s="967"/>
      <c r="W74" s="970"/>
      <c r="X74" s="967"/>
      <c r="Y74" s="970"/>
      <c r="Z74" s="973"/>
      <c r="AA74" s="966"/>
      <c r="AB74" s="967"/>
      <c r="AC74" s="970"/>
      <c r="AD74" s="967"/>
      <c r="AE74" s="970"/>
      <c r="AF74" s="967"/>
      <c r="AG74" s="970"/>
      <c r="AH74" s="967"/>
      <c r="AI74" s="970"/>
      <c r="AJ74" s="973"/>
      <c r="AK74" s="966"/>
      <c r="AL74" s="967"/>
      <c r="AM74" s="970"/>
      <c r="AN74" s="967"/>
      <c r="AO74" s="970"/>
      <c r="AP74" s="967"/>
      <c r="AQ74" s="970"/>
      <c r="AR74" s="967"/>
      <c r="AS74" s="970"/>
      <c r="AT74" s="973"/>
      <c r="AU74" s="966"/>
      <c r="AV74" s="967"/>
      <c r="AW74" s="970"/>
      <c r="AX74" s="967"/>
      <c r="AY74" s="970"/>
      <c r="AZ74" s="967"/>
      <c r="BA74" s="970"/>
      <c r="BB74" s="967"/>
      <c r="BC74" s="970"/>
      <c r="BD74" s="973"/>
    </row>
    <row r="75" spans="17:56" ht="12" thickBot="1">
      <c r="Q75" s="968"/>
      <c r="R75" s="969"/>
      <c r="S75" s="971"/>
      <c r="T75" s="969"/>
      <c r="U75" s="971"/>
      <c r="V75" s="969"/>
      <c r="W75" s="971"/>
      <c r="X75" s="969"/>
      <c r="Y75" s="971"/>
      <c r="Z75" s="974"/>
      <c r="AA75" s="968"/>
      <c r="AB75" s="969"/>
      <c r="AC75" s="971"/>
      <c r="AD75" s="969"/>
      <c r="AE75" s="971"/>
      <c r="AF75" s="969"/>
      <c r="AG75" s="971"/>
      <c r="AH75" s="969"/>
      <c r="AI75" s="971"/>
      <c r="AJ75" s="974"/>
      <c r="AK75" s="968"/>
      <c r="AL75" s="969"/>
      <c r="AM75" s="971"/>
      <c r="AN75" s="969"/>
      <c r="AO75" s="971"/>
      <c r="AP75" s="969"/>
      <c r="AQ75" s="971"/>
      <c r="AR75" s="969"/>
      <c r="AS75" s="971"/>
      <c r="AT75" s="974"/>
      <c r="AU75" s="968"/>
      <c r="AV75" s="969"/>
      <c r="AW75" s="971"/>
      <c r="AX75" s="969"/>
      <c r="AY75" s="971"/>
      <c r="AZ75" s="969"/>
      <c r="BA75" s="971"/>
      <c r="BB75" s="969"/>
      <c r="BC75" s="971"/>
      <c r="BD75" s="974"/>
    </row>
  </sheetData>
  <sheetProtection/>
  <mergeCells count="1346">
    <mergeCell ref="AC10:AD11"/>
    <mergeCell ref="Y10:Z11"/>
    <mergeCell ref="U10:V11"/>
    <mergeCell ref="AA10:AB11"/>
    <mergeCell ref="AE10:AF11"/>
    <mergeCell ref="AI10:AJ11"/>
    <mergeCell ref="AM10:AN11"/>
    <mergeCell ref="AQ10:AR11"/>
    <mergeCell ref="AU10:AV11"/>
    <mergeCell ref="AG10:AH11"/>
    <mergeCell ref="AK10:AL11"/>
    <mergeCell ref="AO10:AP11"/>
    <mergeCell ref="AS10:AT11"/>
    <mergeCell ref="BA70:BB70"/>
    <mergeCell ref="BC70:BD70"/>
    <mergeCell ref="S13:T13"/>
    <mergeCell ref="S12:T12"/>
    <mergeCell ref="AK70:AL70"/>
    <mergeCell ref="AM70:AN70"/>
    <mergeCell ref="AO70:AP70"/>
    <mergeCell ref="AQ70:AR70"/>
    <mergeCell ref="BC69:BD69"/>
    <mergeCell ref="S70:T70"/>
    <mergeCell ref="U70:V70"/>
    <mergeCell ref="W70:X70"/>
    <mergeCell ref="Y70:Z70"/>
    <mergeCell ref="AA70:AB70"/>
    <mergeCell ref="AC70:AD70"/>
    <mergeCell ref="AE70:AF70"/>
    <mergeCell ref="AW70:AX70"/>
    <mergeCell ref="AY70:AZ70"/>
    <mergeCell ref="AG70:AH70"/>
    <mergeCell ref="AI70:AJ70"/>
    <mergeCell ref="AQ69:AR69"/>
    <mergeCell ref="AS69:AT69"/>
    <mergeCell ref="AU69:AV69"/>
    <mergeCell ref="AW69:AX69"/>
    <mergeCell ref="AS70:AT70"/>
    <mergeCell ref="AU70:AV70"/>
    <mergeCell ref="AY69:AZ69"/>
    <mergeCell ref="BA69:BB69"/>
    <mergeCell ref="AE69:AF69"/>
    <mergeCell ref="AG69:AH69"/>
    <mergeCell ref="AI69:AJ69"/>
    <mergeCell ref="AK69:AL69"/>
    <mergeCell ref="AM69:AN69"/>
    <mergeCell ref="AO69:AP69"/>
    <mergeCell ref="AW68:AX68"/>
    <mergeCell ref="AY68:AZ68"/>
    <mergeCell ref="BA68:BB68"/>
    <mergeCell ref="BC68:BD68"/>
    <mergeCell ref="S69:T69"/>
    <mergeCell ref="U69:V69"/>
    <mergeCell ref="W69:X69"/>
    <mergeCell ref="Y69:Z69"/>
    <mergeCell ref="AA69:AB69"/>
    <mergeCell ref="AC69:AD69"/>
    <mergeCell ref="AK68:AL68"/>
    <mergeCell ref="AM68:AN68"/>
    <mergeCell ref="AO68:AP68"/>
    <mergeCell ref="AQ68:AR68"/>
    <mergeCell ref="AS68:AT68"/>
    <mergeCell ref="AU68:AV68"/>
    <mergeCell ref="BC67:BD67"/>
    <mergeCell ref="S68:T68"/>
    <mergeCell ref="U68:V68"/>
    <mergeCell ref="W68:X68"/>
    <mergeCell ref="Y68:Z68"/>
    <mergeCell ref="AA68:AB68"/>
    <mergeCell ref="AC68:AD68"/>
    <mergeCell ref="AE68:AF68"/>
    <mergeCell ref="AG68:AH68"/>
    <mergeCell ref="AI68:AJ68"/>
    <mergeCell ref="AQ67:AR67"/>
    <mergeCell ref="AS67:AT67"/>
    <mergeCell ref="AU67:AV67"/>
    <mergeCell ref="AW67:AX67"/>
    <mergeCell ref="AY67:AZ67"/>
    <mergeCell ref="BA67:BB67"/>
    <mergeCell ref="AE67:AF67"/>
    <mergeCell ref="AG67:AH67"/>
    <mergeCell ref="AI67:AJ67"/>
    <mergeCell ref="AK67:AL67"/>
    <mergeCell ref="AM67:AN67"/>
    <mergeCell ref="AO67:AP67"/>
    <mergeCell ref="AW66:AX66"/>
    <mergeCell ref="AY66:AZ66"/>
    <mergeCell ref="BA66:BB66"/>
    <mergeCell ref="BC66:BD66"/>
    <mergeCell ref="S67:T67"/>
    <mergeCell ref="U67:V67"/>
    <mergeCell ref="W67:X67"/>
    <mergeCell ref="Y67:Z67"/>
    <mergeCell ref="AA67:AB67"/>
    <mergeCell ref="AC67:AD67"/>
    <mergeCell ref="AK66:AL66"/>
    <mergeCell ref="AM66:AN66"/>
    <mergeCell ref="AO66:AP66"/>
    <mergeCell ref="AQ66:AR66"/>
    <mergeCell ref="AS66:AT66"/>
    <mergeCell ref="AU66:AV66"/>
    <mergeCell ref="BC65:BD65"/>
    <mergeCell ref="S66:T66"/>
    <mergeCell ref="U66:V66"/>
    <mergeCell ref="W66:X66"/>
    <mergeCell ref="Y66:Z66"/>
    <mergeCell ref="AA66:AB66"/>
    <mergeCell ref="AC66:AD66"/>
    <mergeCell ref="AE66:AF66"/>
    <mergeCell ref="AG66:AH66"/>
    <mergeCell ref="AI66:AJ66"/>
    <mergeCell ref="AQ65:AR65"/>
    <mergeCell ref="AS65:AT65"/>
    <mergeCell ref="AU65:AV65"/>
    <mergeCell ref="AW65:AX65"/>
    <mergeCell ref="AY65:AZ65"/>
    <mergeCell ref="BA65:BB65"/>
    <mergeCell ref="AE65:AF65"/>
    <mergeCell ref="AG65:AH65"/>
    <mergeCell ref="AI65:AJ65"/>
    <mergeCell ref="AK65:AL65"/>
    <mergeCell ref="AM65:AN65"/>
    <mergeCell ref="AO65:AP65"/>
    <mergeCell ref="AW64:AX64"/>
    <mergeCell ref="AY64:AZ64"/>
    <mergeCell ref="BA64:BB64"/>
    <mergeCell ref="BC64:BD64"/>
    <mergeCell ref="S65:T65"/>
    <mergeCell ref="U65:V65"/>
    <mergeCell ref="W65:X65"/>
    <mergeCell ref="Y65:Z65"/>
    <mergeCell ref="AA65:AB65"/>
    <mergeCell ref="AC65:AD65"/>
    <mergeCell ref="AK64:AL64"/>
    <mergeCell ref="AM64:AN64"/>
    <mergeCell ref="AO64:AP64"/>
    <mergeCell ref="AQ64:AR64"/>
    <mergeCell ref="AS64:AT64"/>
    <mergeCell ref="AU64:AV64"/>
    <mergeCell ref="BC63:BD63"/>
    <mergeCell ref="S64:T64"/>
    <mergeCell ref="U64:V64"/>
    <mergeCell ref="W64:X64"/>
    <mergeCell ref="Y64:Z64"/>
    <mergeCell ref="AA64:AB64"/>
    <mergeCell ref="AC64:AD64"/>
    <mergeCell ref="AE64:AF64"/>
    <mergeCell ref="AG64:AH64"/>
    <mergeCell ref="AI64:AJ64"/>
    <mergeCell ref="AQ63:AR63"/>
    <mergeCell ref="AS63:AT63"/>
    <mergeCell ref="AU63:AV63"/>
    <mergeCell ref="AW63:AX63"/>
    <mergeCell ref="AY63:AZ63"/>
    <mergeCell ref="BA63:BB63"/>
    <mergeCell ref="AE63:AF63"/>
    <mergeCell ref="AG63:AH63"/>
    <mergeCell ref="AI63:AJ63"/>
    <mergeCell ref="AK63:AL63"/>
    <mergeCell ref="AM63:AN63"/>
    <mergeCell ref="AO63:AP63"/>
    <mergeCell ref="AW62:AX62"/>
    <mergeCell ref="AY62:AZ62"/>
    <mergeCell ref="BA62:BB62"/>
    <mergeCell ref="BC62:BD62"/>
    <mergeCell ref="S63:T63"/>
    <mergeCell ref="U63:V63"/>
    <mergeCell ref="W63:X63"/>
    <mergeCell ref="Y63:Z63"/>
    <mergeCell ref="AA63:AB63"/>
    <mergeCell ref="AC63:AD63"/>
    <mergeCell ref="AK62:AL62"/>
    <mergeCell ref="AM62:AN62"/>
    <mergeCell ref="AO62:AP62"/>
    <mergeCell ref="AQ62:AR62"/>
    <mergeCell ref="AS62:AT62"/>
    <mergeCell ref="AU62:AV62"/>
    <mergeCell ref="BC61:BD61"/>
    <mergeCell ref="S62:T62"/>
    <mergeCell ref="U62:V62"/>
    <mergeCell ref="W62:X62"/>
    <mergeCell ref="Y62:Z62"/>
    <mergeCell ref="AA62:AB62"/>
    <mergeCell ref="AC62:AD62"/>
    <mergeCell ref="AE62:AF62"/>
    <mergeCell ref="AG62:AH62"/>
    <mergeCell ref="AI62:AJ62"/>
    <mergeCell ref="AQ61:AR61"/>
    <mergeCell ref="AS61:AT61"/>
    <mergeCell ref="AU61:AV61"/>
    <mergeCell ref="AW61:AX61"/>
    <mergeCell ref="AY61:AZ61"/>
    <mergeCell ref="BA61:BB61"/>
    <mergeCell ref="AE61:AF61"/>
    <mergeCell ref="AG61:AH61"/>
    <mergeCell ref="AI61:AJ61"/>
    <mergeCell ref="AK61:AL61"/>
    <mergeCell ref="AM61:AN61"/>
    <mergeCell ref="AO61:AP61"/>
    <mergeCell ref="AW60:AX60"/>
    <mergeCell ref="AY60:AZ60"/>
    <mergeCell ref="BA60:BB60"/>
    <mergeCell ref="BC60:BD60"/>
    <mergeCell ref="S61:T61"/>
    <mergeCell ref="U61:V61"/>
    <mergeCell ref="W61:X61"/>
    <mergeCell ref="Y61:Z61"/>
    <mergeCell ref="AA61:AB61"/>
    <mergeCell ref="AC61:AD61"/>
    <mergeCell ref="AK60:AL60"/>
    <mergeCell ref="AM60:AN60"/>
    <mergeCell ref="AO60:AP60"/>
    <mergeCell ref="AQ60:AR60"/>
    <mergeCell ref="AS60:AT60"/>
    <mergeCell ref="AU60:AV60"/>
    <mergeCell ref="BC59:BD59"/>
    <mergeCell ref="S60:T60"/>
    <mergeCell ref="U60:V60"/>
    <mergeCell ref="W60:X60"/>
    <mergeCell ref="Y60:Z60"/>
    <mergeCell ref="AA60:AB60"/>
    <mergeCell ref="AC60:AD60"/>
    <mergeCell ref="AE60:AF60"/>
    <mergeCell ref="AG60:AH60"/>
    <mergeCell ref="AI60:AJ60"/>
    <mergeCell ref="AQ59:AR59"/>
    <mergeCell ref="AS59:AT59"/>
    <mergeCell ref="AU59:AV59"/>
    <mergeCell ref="AW59:AX59"/>
    <mergeCell ref="AY59:AZ59"/>
    <mergeCell ref="BA59:BB59"/>
    <mergeCell ref="AE59:AF59"/>
    <mergeCell ref="AG59:AH59"/>
    <mergeCell ref="AI59:AJ59"/>
    <mergeCell ref="AK59:AL59"/>
    <mergeCell ref="AM59:AN59"/>
    <mergeCell ref="AO59:AP59"/>
    <mergeCell ref="AW58:AX58"/>
    <mergeCell ref="AY58:AZ58"/>
    <mergeCell ref="BA58:BB58"/>
    <mergeCell ref="BC58:BD58"/>
    <mergeCell ref="S59:T59"/>
    <mergeCell ref="U59:V59"/>
    <mergeCell ref="W59:X59"/>
    <mergeCell ref="Y59:Z59"/>
    <mergeCell ref="AA59:AB59"/>
    <mergeCell ref="AC59:AD59"/>
    <mergeCell ref="AK58:AL58"/>
    <mergeCell ref="AM58:AN58"/>
    <mergeCell ref="AO58:AP58"/>
    <mergeCell ref="AQ58:AR58"/>
    <mergeCell ref="AS58:AT58"/>
    <mergeCell ref="AU58:AV58"/>
    <mergeCell ref="BC57:BD57"/>
    <mergeCell ref="S58:T58"/>
    <mergeCell ref="U58:V58"/>
    <mergeCell ref="W58:X58"/>
    <mergeCell ref="Y58:Z58"/>
    <mergeCell ref="AA58:AB58"/>
    <mergeCell ref="AC58:AD58"/>
    <mergeCell ref="AE58:AF58"/>
    <mergeCell ref="AG58:AH58"/>
    <mergeCell ref="AI58:AJ58"/>
    <mergeCell ref="AQ57:AR57"/>
    <mergeCell ref="AS57:AT57"/>
    <mergeCell ref="AU57:AV57"/>
    <mergeCell ref="AW57:AX57"/>
    <mergeCell ref="AY57:AZ57"/>
    <mergeCell ref="BA57:BB57"/>
    <mergeCell ref="AE57:AF57"/>
    <mergeCell ref="AG57:AH57"/>
    <mergeCell ref="AI57:AJ57"/>
    <mergeCell ref="AK57:AL57"/>
    <mergeCell ref="AM57:AN57"/>
    <mergeCell ref="AO57:AP57"/>
    <mergeCell ref="AW56:AX56"/>
    <mergeCell ref="AY56:AZ56"/>
    <mergeCell ref="BA56:BB56"/>
    <mergeCell ref="BC56:BD56"/>
    <mergeCell ref="S57:T57"/>
    <mergeCell ref="U57:V57"/>
    <mergeCell ref="W57:X57"/>
    <mergeCell ref="Y57:Z57"/>
    <mergeCell ref="AA57:AB57"/>
    <mergeCell ref="AC57:AD57"/>
    <mergeCell ref="AK56:AL56"/>
    <mergeCell ref="AM56:AN56"/>
    <mergeCell ref="AO56:AP56"/>
    <mergeCell ref="AQ56:AR56"/>
    <mergeCell ref="AS56:AT56"/>
    <mergeCell ref="AU56:AV56"/>
    <mergeCell ref="BC55:BD55"/>
    <mergeCell ref="S56:T56"/>
    <mergeCell ref="U56:V56"/>
    <mergeCell ref="W56:X56"/>
    <mergeCell ref="Y56:Z56"/>
    <mergeCell ref="AA56:AB56"/>
    <mergeCell ref="AC56:AD56"/>
    <mergeCell ref="AE56:AF56"/>
    <mergeCell ref="AG56:AH56"/>
    <mergeCell ref="AI56:AJ56"/>
    <mergeCell ref="AQ55:AR55"/>
    <mergeCell ref="AS55:AT55"/>
    <mergeCell ref="AU55:AV55"/>
    <mergeCell ref="AW55:AX55"/>
    <mergeCell ref="AY55:AZ55"/>
    <mergeCell ref="BA55:BB55"/>
    <mergeCell ref="AE55:AF55"/>
    <mergeCell ref="AG55:AH55"/>
    <mergeCell ref="AI55:AJ55"/>
    <mergeCell ref="AK55:AL55"/>
    <mergeCell ref="AM55:AN55"/>
    <mergeCell ref="AO55:AP55"/>
    <mergeCell ref="AW54:AX54"/>
    <mergeCell ref="AY54:AZ54"/>
    <mergeCell ref="BA54:BB54"/>
    <mergeCell ref="BC54:BD54"/>
    <mergeCell ref="S55:T55"/>
    <mergeCell ref="U55:V55"/>
    <mergeCell ref="W55:X55"/>
    <mergeCell ref="Y55:Z55"/>
    <mergeCell ref="AA55:AB55"/>
    <mergeCell ref="AC55:AD55"/>
    <mergeCell ref="AK54:AL54"/>
    <mergeCell ref="AM54:AN54"/>
    <mergeCell ref="AO54:AP54"/>
    <mergeCell ref="AQ54:AR54"/>
    <mergeCell ref="AS54:AT54"/>
    <mergeCell ref="AU54:AV54"/>
    <mergeCell ref="BC53:BD53"/>
    <mergeCell ref="S54:T54"/>
    <mergeCell ref="U54:V54"/>
    <mergeCell ref="W54:X54"/>
    <mergeCell ref="Y54:Z54"/>
    <mergeCell ref="AA54:AB54"/>
    <mergeCell ref="AC54:AD54"/>
    <mergeCell ref="AE54:AF54"/>
    <mergeCell ref="AG54:AH54"/>
    <mergeCell ref="AI54:AJ54"/>
    <mergeCell ref="AQ53:AR53"/>
    <mergeCell ref="AS53:AT53"/>
    <mergeCell ref="AU53:AV53"/>
    <mergeCell ref="AW53:AX53"/>
    <mergeCell ref="AY53:AZ53"/>
    <mergeCell ref="BA53:BB53"/>
    <mergeCell ref="AE53:AF53"/>
    <mergeCell ref="AG53:AH53"/>
    <mergeCell ref="AI53:AJ53"/>
    <mergeCell ref="AK53:AL53"/>
    <mergeCell ref="AM53:AN53"/>
    <mergeCell ref="AO53:AP53"/>
    <mergeCell ref="AW52:AX52"/>
    <mergeCell ref="AY52:AZ52"/>
    <mergeCell ref="BA52:BB52"/>
    <mergeCell ref="BC52:BD52"/>
    <mergeCell ref="S53:T53"/>
    <mergeCell ref="U53:V53"/>
    <mergeCell ref="W53:X53"/>
    <mergeCell ref="Y53:Z53"/>
    <mergeCell ref="AA53:AB53"/>
    <mergeCell ref="AC53:AD53"/>
    <mergeCell ref="AK52:AL52"/>
    <mergeCell ref="AM52:AN52"/>
    <mergeCell ref="AO52:AP52"/>
    <mergeCell ref="AQ52:AR52"/>
    <mergeCell ref="AS52:AT52"/>
    <mergeCell ref="AU52:AV52"/>
    <mergeCell ref="BC51:BD51"/>
    <mergeCell ref="S52:T52"/>
    <mergeCell ref="U52:V52"/>
    <mergeCell ref="W52:X52"/>
    <mergeCell ref="Y52:Z52"/>
    <mergeCell ref="AA52:AB52"/>
    <mergeCell ref="AC52:AD52"/>
    <mergeCell ref="AE52:AF52"/>
    <mergeCell ref="AG52:AH52"/>
    <mergeCell ref="AI52:AJ52"/>
    <mergeCell ref="AQ51:AR51"/>
    <mergeCell ref="AS51:AT51"/>
    <mergeCell ref="AU51:AV51"/>
    <mergeCell ref="AW51:AX51"/>
    <mergeCell ref="AY51:AZ51"/>
    <mergeCell ref="BA51:BB51"/>
    <mergeCell ref="AE51:AF51"/>
    <mergeCell ref="AG51:AH51"/>
    <mergeCell ref="AI51:AJ51"/>
    <mergeCell ref="AK51:AL51"/>
    <mergeCell ref="AM51:AN51"/>
    <mergeCell ref="AO51:AP51"/>
    <mergeCell ref="AW50:AX50"/>
    <mergeCell ref="AY50:AZ50"/>
    <mergeCell ref="BA50:BB50"/>
    <mergeCell ref="BC50:BD50"/>
    <mergeCell ref="S51:T51"/>
    <mergeCell ref="U51:V51"/>
    <mergeCell ref="W51:X51"/>
    <mergeCell ref="Y51:Z51"/>
    <mergeCell ref="AA51:AB51"/>
    <mergeCell ref="AC51:AD51"/>
    <mergeCell ref="AK50:AL50"/>
    <mergeCell ref="AM50:AN50"/>
    <mergeCell ref="AO50:AP50"/>
    <mergeCell ref="AQ50:AR50"/>
    <mergeCell ref="AS50:AT50"/>
    <mergeCell ref="AU50:AV50"/>
    <mergeCell ref="BC49:BD49"/>
    <mergeCell ref="S50:T50"/>
    <mergeCell ref="U50:V50"/>
    <mergeCell ref="W50:X50"/>
    <mergeCell ref="Y50:Z50"/>
    <mergeCell ref="AA50:AB50"/>
    <mergeCell ref="AC50:AD50"/>
    <mergeCell ref="AE50:AF50"/>
    <mergeCell ref="AG50:AH50"/>
    <mergeCell ref="AI50:AJ50"/>
    <mergeCell ref="AQ49:AR49"/>
    <mergeCell ref="AS49:AT49"/>
    <mergeCell ref="AU49:AV49"/>
    <mergeCell ref="AW49:AX49"/>
    <mergeCell ref="AY49:AZ49"/>
    <mergeCell ref="BA49:BB49"/>
    <mergeCell ref="AE49:AF49"/>
    <mergeCell ref="AG49:AH49"/>
    <mergeCell ref="AI49:AJ49"/>
    <mergeCell ref="AK49:AL49"/>
    <mergeCell ref="AM49:AN49"/>
    <mergeCell ref="AO49:AP49"/>
    <mergeCell ref="AW48:AX48"/>
    <mergeCell ref="AY48:AZ48"/>
    <mergeCell ref="BA48:BB48"/>
    <mergeCell ref="BC48:BD48"/>
    <mergeCell ref="S49:T49"/>
    <mergeCell ref="U49:V49"/>
    <mergeCell ref="W49:X49"/>
    <mergeCell ref="Y49:Z49"/>
    <mergeCell ref="AA49:AB49"/>
    <mergeCell ref="AC49:AD49"/>
    <mergeCell ref="AK48:AL48"/>
    <mergeCell ref="AM48:AN48"/>
    <mergeCell ref="AO48:AP48"/>
    <mergeCell ref="AQ48:AR48"/>
    <mergeCell ref="AS48:AT48"/>
    <mergeCell ref="AU48:AV48"/>
    <mergeCell ref="BC47:BD47"/>
    <mergeCell ref="S48:T48"/>
    <mergeCell ref="U48:V48"/>
    <mergeCell ref="W48:X48"/>
    <mergeCell ref="Y48:Z48"/>
    <mergeCell ref="AA48:AB48"/>
    <mergeCell ref="AC48:AD48"/>
    <mergeCell ref="AE48:AF48"/>
    <mergeCell ref="AG48:AH48"/>
    <mergeCell ref="AI48:AJ48"/>
    <mergeCell ref="AQ47:AR47"/>
    <mergeCell ref="AS47:AT47"/>
    <mergeCell ref="AU47:AV47"/>
    <mergeCell ref="AW47:AX47"/>
    <mergeCell ref="AY47:AZ47"/>
    <mergeCell ref="BA47:BB47"/>
    <mergeCell ref="AE47:AF47"/>
    <mergeCell ref="AG47:AH47"/>
    <mergeCell ref="AI47:AJ47"/>
    <mergeCell ref="AK47:AL47"/>
    <mergeCell ref="AM47:AN47"/>
    <mergeCell ref="AO47:AP47"/>
    <mergeCell ref="AW46:AX46"/>
    <mergeCell ref="AY46:AZ46"/>
    <mergeCell ref="BA46:BB46"/>
    <mergeCell ref="BC46:BD46"/>
    <mergeCell ref="S47:T47"/>
    <mergeCell ref="U47:V47"/>
    <mergeCell ref="W47:X47"/>
    <mergeCell ref="Y47:Z47"/>
    <mergeCell ref="AA47:AB47"/>
    <mergeCell ref="AC47:AD47"/>
    <mergeCell ref="AK46:AL46"/>
    <mergeCell ref="AM46:AN46"/>
    <mergeCell ref="AO46:AP46"/>
    <mergeCell ref="AQ46:AR46"/>
    <mergeCell ref="AS46:AT46"/>
    <mergeCell ref="AU46:AV46"/>
    <mergeCell ref="BC45:BD45"/>
    <mergeCell ref="S46:T46"/>
    <mergeCell ref="U46:V46"/>
    <mergeCell ref="W46:X46"/>
    <mergeCell ref="Y46:Z46"/>
    <mergeCell ref="AA46:AB46"/>
    <mergeCell ref="AC46:AD46"/>
    <mergeCell ref="AE46:AF46"/>
    <mergeCell ref="AG46:AH46"/>
    <mergeCell ref="AI46:AJ46"/>
    <mergeCell ref="AQ45:AR45"/>
    <mergeCell ref="AS45:AT45"/>
    <mergeCell ref="AU45:AV45"/>
    <mergeCell ref="AW45:AX45"/>
    <mergeCell ref="AY45:AZ45"/>
    <mergeCell ref="BA45:BB45"/>
    <mergeCell ref="AE45:AF45"/>
    <mergeCell ref="AG45:AH45"/>
    <mergeCell ref="AI45:AJ45"/>
    <mergeCell ref="AK45:AL45"/>
    <mergeCell ref="AM45:AN45"/>
    <mergeCell ref="AO45:AP45"/>
    <mergeCell ref="AW44:AX44"/>
    <mergeCell ref="AY44:AZ44"/>
    <mergeCell ref="BA44:BB44"/>
    <mergeCell ref="BC44:BD44"/>
    <mergeCell ref="S45:T45"/>
    <mergeCell ref="U45:V45"/>
    <mergeCell ref="W45:X45"/>
    <mergeCell ref="Y45:Z45"/>
    <mergeCell ref="AA45:AB45"/>
    <mergeCell ref="AC45:AD45"/>
    <mergeCell ref="AK44:AL44"/>
    <mergeCell ref="AM44:AN44"/>
    <mergeCell ref="AO44:AP44"/>
    <mergeCell ref="AQ44:AR44"/>
    <mergeCell ref="AS44:AT44"/>
    <mergeCell ref="AU44:AV44"/>
    <mergeCell ref="BC43:BD43"/>
    <mergeCell ref="S44:T44"/>
    <mergeCell ref="U44:V44"/>
    <mergeCell ref="W44:X44"/>
    <mergeCell ref="Y44:Z44"/>
    <mergeCell ref="AA44:AB44"/>
    <mergeCell ref="AC44:AD44"/>
    <mergeCell ref="AE44:AF44"/>
    <mergeCell ref="AG44:AH44"/>
    <mergeCell ref="AI44:AJ44"/>
    <mergeCell ref="AQ43:AR43"/>
    <mergeCell ref="AS43:AT43"/>
    <mergeCell ref="AU43:AV43"/>
    <mergeCell ref="AW43:AX43"/>
    <mergeCell ref="AY43:AZ43"/>
    <mergeCell ref="BA43:BB43"/>
    <mergeCell ref="AE43:AF43"/>
    <mergeCell ref="AG43:AH43"/>
    <mergeCell ref="AI43:AJ43"/>
    <mergeCell ref="AK43:AL43"/>
    <mergeCell ref="AM43:AN43"/>
    <mergeCell ref="AO43:AP43"/>
    <mergeCell ref="AW42:AX42"/>
    <mergeCell ref="AY42:AZ42"/>
    <mergeCell ref="BA42:BB42"/>
    <mergeCell ref="BC42:BD42"/>
    <mergeCell ref="S43:T43"/>
    <mergeCell ref="U43:V43"/>
    <mergeCell ref="W43:X43"/>
    <mergeCell ref="Y43:Z43"/>
    <mergeCell ref="AA43:AB43"/>
    <mergeCell ref="AC43:AD43"/>
    <mergeCell ref="AK42:AL42"/>
    <mergeCell ref="AM42:AN42"/>
    <mergeCell ref="AO42:AP42"/>
    <mergeCell ref="AQ42:AR42"/>
    <mergeCell ref="AS42:AT42"/>
    <mergeCell ref="AU42:AV42"/>
    <mergeCell ref="BC41:BD41"/>
    <mergeCell ref="S42:T42"/>
    <mergeCell ref="U42:V42"/>
    <mergeCell ref="W42:X42"/>
    <mergeCell ref="Y42:Z42"/>
    <mergeCell ref="AA42:AB42"/>
    <mergeCell ref="AC42:AD42"/>
    <mergeCell ref="AE42:AF42"/>
    <mergeCell ref="AG42:AH42"/>
    <mergeCell ref="AI42:AJ42"/>
    <mergeCell ref="AQ41:AR41"/>
    <mergeCell ref="AS41:AT41"/>
    <mergeCell ref="AU41:AV41"/>
    <mergeCell ref="AW41:AX41"/>
    <mergeCell ref="AY41:AZ41"/>
    <mergeCell ref="BA41:BB41"/>
    <mergeCell ref="AE41:AF41"/>
    <mergeCell ref="AG41:AH41"/>
    <mergeCell ref="AI41:AJ41"/>
    <mergeCell ref="AK41:AL41"/>
    <mergeCell ref="AM41:AN41"/>
    <mergeCell ref="AO41:AP41"/>
    <mergeCell ref="AW40:AX40"/>
    <mergeCell ref="AY40:AZ40"/>
    <mergeCell ref="BA40:BB40"/>
    <mergeCell ref="BC40:BD40"/>
    <mergeCell ref="S41:T41"/>
    <mergeCell ref="U41:V41"/>
    <mergeCell ref="W41:X41"/>
    <mergeCell ref="Y41:Z41"/>
    <mergeCell ref="AA41:AB41"/>
    <mergeCell ref="AC41:AD41"/>
    <mergeCell ref="AK40:AL40"/>
    <mergeCell ref="AM40:AN40"/>
    <mergeCell ref="AO40:AP40"/>
    <mergeCell ref="AQ40:AR40"/>
    <mergeCell ref="AS40:AT40"/>
    <mergeCell ref="AU40:AV40"/>
    <mergeCell ref="BC39:BD39"/>
    <mergeCell ref="S40:T40"/>
    <mergeCell ref="U40:V40"/>
    <mergeCell ref="W40:X40"/>
    <mergeCell ref="Y40:Z40"/>
    <mergeCell ref="AA40:AB40"/>
    <mergeCell ref="AC40:AD40"/>
    <mergeCell ref="AE40:AF40"/>
    <mergeCell ref="AG40:AH40"/>
    <mergeCell ref="AI40:AJ40"/>
    <mergeCell ref="AQ39:AR39"/>
    <mergeCell ref="AS39:AT39"/>
    <mergeCell ref="AU39:AV39"/>
    <mergeCell ref="AW39:AX39"/>
    <mergeCell ref="AY39:AZ39"/>
    <mergeCell ref="BA39:BB39"/>
    <mergeCell ref="AE39:AF39"/>
    <mergeCell ref="AG39:AH39"/>
    <mergeCell ref="AI39:AJ39"/>
    <mergeCell ref="AK39:AL39"/>
    <mergeCell ref="AM39:AN39"/>
    <mergeCell ref="AO39:AP39"/>
    <mergeCell ref="AW38:AX38"/>
    <mergeCell ref="AY38:AZ38"/>
    <mergeCell ref="BA38:BB38"/>
    <mergeCell ref="BC38:BD38"/>
    <mergeCell ref="S39:T39"/>
    <mergeCell ref="U39:V39"/>
    <mergeCell ref="W39:X39"/>
    <mergeCell ref="Y39:Z39"/>
    <mergeCell ref="AA39:AB39"/>
    <mergeCell ref="AC39:AD39"/>
    <mergeCell ref="AK38:AL38"/>
    <mergeCell ref="AM38:AN38"/>
    <mergeCell ref="AO38:AP38"/>
    <mergeCell ref="AQ38:AR38"/>
    <mergeCell ref="AS38:AT38"/>
    <mergeCell ref="AU38:AV38"/>
    <mergeCell ref="BC37:BD37"/>
    <mergeCell ref="S38:T38"/>
    <mergeCell ref="U38:V38"/>
    <mergeCell ref="W38:X38"/>
    <mergeCell ref="Y38:Z38"/>
    <mergeCell ref="AA38:AB38"/>
    <mergeCell ref="AC38:AD38"/>
    <mergeCell ref="AE38:AF38"/>
    <mergeCell ref="AG38:AH38"/>
    <mergeCell ref="AI38:AJ38"/>
    <mergeCell ref="AQ37:AR37"/>
    <mergeCell ref="AS37:AT37"/>
    <mergeCell ref="AU37:AV37"/>
    <mergeCell ref="AW37:AX37"/>
    <mergeCell ref="AY37:AZ37"/>
    <mergeCell ref="BA37:BB37"/>
    <mergeCell ref="AE37:AF37"/>
    <mergeCell ref="AG37:AH37"/>
    <mergeCell ref="AI37:AJ37"/>
    <mergeCell ref="AK37:AL37"/>
    <mergeCell ref="AM37:AN37"/>
    <mergeCell ref="AO37:AP37"/>
    <mergeCell ref="AW36:AX36"/>
    <mergeCell ref="AY36:AZ36"/>
    <mergeCell ref="BA36:BB36"/>
    <mergeCell ref="BC36:BD36"/>
    <mergeCell ref="S37:T37"/>
    <mergeCell ref="U37:V37"/>
    <mergeCell ref="W37:X37"/>
    <mergeCell ref="Y37:Z37"/>
    <mergeCell ref="AA37:AB37"/>
    <mergeCell ref="AC37:AD37"/>
    <mergeCell ref="AK36:AL36"/>
    <mergeCell ref="AM36:AN36"/>
    <mergeCell ref="AO36:AP36"/>
    <mergeCell ref="AQ36:AR36"/>
    <mergeCell ref="AS36:AT36"/>
    <mergeCell ref="AU36:AV36"/>
    <mergeCell ref="BC35:BD35"/>
    <mergeCell ref="S36:T36"/>
    <mergeCell ref="U36:V36"/>
    <mergeCell ref="W36:X36"/>
    <mergeCell ref="Y36:Z36"/>
    <mergeCell ref="AA36:AB36"/>
    <mergeCell ref="AC36:AD36"/>
    <mergeCell ref="AE36:AF36"/>
    <mergeCell ref="AG36:AH36"/>
    <mergeCell ref="AI36:AJ36"/>
    <mergeCell ref="AQ35:AR35"/>
    <mergeCell ref="AS35:AT35"/>
    <mergeCell ref="AU35:AV35"/>
    <mergeCell ref="AW35:AX35"/>
    <mergeCell ref="AY35:AZ35"/>
    <mergeCell ref="BA35:BB35"/>
    <mergeCell ref="AE35:AF35"/>
    <mergeCell ref="AG35:AH35"/>
    <mergeCell ref="AI35:AJ35"/>
    <mergeCell ref="AK35:AL35"/>
    <mergeCell ref="AM35:AN35"/>
    <mergeCell ref="AO35:AP35"/>
    <mergeCell ref="AW34:AX34"/>
    <mergeCell ref="AY34:AZ34"/>
    <mergeCell ref="BA34:BB34"/>
    <mergeCell ref="BC34:BD34"/>
    <mergeCell ref="S35:T35"/>
    <mergeCell ref="U35:V35"/>
    <mergeCell ref="W35:X35"/>
    <mergeCell ref="Y35:Z35"/>
    <mergeCell ref="AA35:AB35"/>
    <mergeCell ref="AC35:AD35"/>
    <mergeCell ref="AK34:AL34"/>
    <mergeCell ref="AM34:AN34"/>
    <mergeCell ref="AO34:AP34"/>
    <mergeCell ref="AQ34:AR34"/>
    <mergeCell ref="AS34:AT34"/>
    <mergeCell ref="AU34:AV34"/>
    <mergeCell ref="BC33:BD33"/>
    <mergeCell ref="S34:T34"/>
    <mergeCell ref="U34:V34"/>
    <mergeCell ref="W34:X34"/>
    <mergeCell ref="Y34:Z34"/>
    <mergeCell ref="AA34:AB34"/>
    <mergeCell ref="AC34:AD34"/>
    <mergeCell ref="AE34:AF34"/>
    <mergeCell ref="AG34:AH34"/>
    <mergeCell ref="AI34:AJ34"/>
    <mergeCell ref="AQ33:AR33"/>
    <mergeCell ref="AS33:AT33"/>
    <mergeCell ref="AU33:AV33"/>
    <mergeCell ref="AW33:AX33"/>
    <mergeCell ref="AY33:AZ33"/>
    <mergeCell ref="BA33:BB33"/>
    <mergeCell ref="AE33:AF33"/>
    <mergeCell ref="AG33:AH33"/>
    <mergeCell ref="AI33:AJ33"/>
    <mergeCell ref="AK33:AL33"/>
    <mergeCell ref="AM33:AN33"/>
    <mergeCell ref="AO33:AP33"/>
    <mergeCell ref="AW32:AX32"/>
    <mergeCell ref="AY32:AZ32"/>
    <mergeCell ref="BA32:BB32"/>
    <mergeCell ref="BC32:BD32"/>
    <mergeCell ref="S33:T33"/>
    <mergeCell ref="U33:V33"/>
    <mergeCell ref="W33:X33"/>
    <mergeCell ref="Y33:Z33"/>
    <mergeCell ref="AA33:AB33"/>
    <mergeCell ref="AC33:AD33"/>
    <mergeCell ref="AK32:AL32"/>
    <mergeCell ref="AM32:AN32"/>
    <mergeCell ref="AO32:AP32"/>
    <mergeCell ref="AQ32:AR32"/>
    <mergeCell ref="AS32:AT32"/>
    <mergeCell ref="AU32:AV32"/>
    <mergeCell ref="BC31:BD31"/>
    <mergeCell ref="S32:T32"/>
    <mergeCell ref="U32:V32"/>
    <mergeCell ref="W32:X32"/>
    <mergeCell ref="Y32:Z32"/>
    <mergeCell ref="AA32:AB32"/>
    <mergeCell ref="AC32:AD32"/>
    <mergeCell ref="AE32:AF32"/>
    <mergeCell ref="AG32:AH32"/>
    <mergeCell ref="AI32:AJ32"/>
    <mergeCell ref="AQ31:AR31"/>
    <mergeCell ref="AS31:AT31"/>
    <mergeCell ref="AU31:AV31"/>
    <mergeCell ref="AW31:AX31"/>
    <mergeCell ref="AY31:AZ31"/>
    <mergeCell ref="BA31:BB31"/>
    <mergeCell ref="AE31:AF31"/>
    <mergeCell ref="AG31:AH31"/>
    <mergeCell ref="AI31:AJ31"/>
    <mergeCell ref="AK31:AL31"/>
    <mergeCell ref="AM31:AN31"/>
    <mergeCell ref="AO31:AP31"/>
    <mergeCell ref="AW30:AX30"/>
    <mergeCell ref="AY30:AZ30"/>
    <mergeCell ref="BA30:BB30"/>
    <mergeCell ref="BC30:BD30"/>
    <mergeCell ref="S31:T31"/>
    <mergeCell ref="U31:V31"/>
    <mergeCell ref="W31:X31"/>
    <mergeCell ref="Y31:Z31"/>
    <mergeCell ref="AA31:AB31"/>
    <mergeCell ref="AC31:AD31"/>
    <mergeCell ref="AK30:AL30"/>
    <mergeCell ref="AM30:AN30"/>
    <mergeCell ref="AO30:AP30"/>
    <mergeCell ref="AQ30:AR30"/>
    <mergeCell ref="AS30:AT30"/>
    <mergeCell ref="AU30:AV30"/>
    <mergeCell ref="BC29:BD29"/>
    <mergeCell ref="S30:T30"/>
    <mergeCell ref="U30:V30"/>
    <mergeCell ref="W30:X30"/>
    <mergeCell ref="Y30:Z30"/>
    <mergeCell ref="AA30:AB30"/>
    <mergeCell ref="AC30:AD30"/>
    <mergeCell ref="AE30:AF30"/>
    <mergeCell ref="AG30:AH30"/>
    <mergeCell ref="AI30:AJ30"/>
    <mergeCell ref="AQ29:AR29"/>
    <mergeCell ref="AS29:AT29"/>
    <mergeCell ref="AU29:AV29"/>
    <mergeCell ref="AW29:AX29"/>
    <mergeCell ref="AY29:AZ29"/>
    <mergeCell ref="BA29:BB29"/>
    <mergeCell ref="AE29:AF29"/>
    <mergeCell ref="AG29:AH29"/>
    <mergeCell ref="AI29:AJ29"/>
    <mergeCell ref="AK29:AL29"/>
    <mergeCell ref="AM29:AN29"/>
    <mergeCell ref="AO29:AP29"/>
    <mergeCell ref="AW28:AX28"/>
    <mergeCell ref="AY28:AZ28"/>
    <mergeCell ref="BA28:BB28"/>
    <mergeCell ref="BC28:BD28"/>
    <mergeCell ref="S29:T29"/>
    <mergeCell ref="U29:V29"/>
    <mergeCell ref="W29:X29"/>
    <mergeCell ref="Y29:Z29"/>
    <mergeCell ref="AA29:AB29"/>
    <mergeCell ref="AC29:AD29"/>
    <mergeCell ref="AK28:AL28"/>
    <mergeCell ref="AM28:AN28"/>
    <mergeCell ref="AO28:AP28"/>
    <mergeCell ref="AQ28:AR28"/>
    <mergeCell ref="AS28:AT28"/>
    <mergeCell ref="AU28:AV28"/>
    <mergeCell ref="BC27:BD27"/>
    <mergeCell ref="S28:T28"/>
    <mergeCell ref="U28:V28"/>
    <mergeCell ref="W28:X28"/>
    <mergeCell ref="Y28:Z28"/>
    <mergeCell ref="AA28:AB28"/>
    <mergeCell ref="AC28:AD28"/>
    <mergeCell ref="AE28:AF28"/>
    <mergeCell ref="AG28:AH28"/>
    <mergeCell ref="AI28:AJ28"/>
    <mergeCell ref="AQ27:AR27"/>
    <mergeCell ref="AS27:AT27"/>
    <mergeCell ref="AU27:AV27"/>
    <mergeCell ref="AW27:AX27"/>
    <mergeCell ref="AY27:AZ27"/>
    <mergeCell ref="BA27:BB27"/>
    <mergeCell ref="AE27:AF27"/>
    <mergeCell ref="AG27:AH27"/>
    <mergeCell ref="AI27:AJ27"/>
    <mergeCell ref="AK27:AL27"/>
    <mergeCell ref="AM27:AN27"/>
    <mergeCell ref="AO27:AP27"/>
    <mergeCell ref="AW26:AX26"/>
    <mergeCell ref="AY26:AZ26"/>
    <mergeCell ref="BA26:BB26"/>
    <mergeCell ref="BC26:BD26"/>
    <mergeCell ref="S27:T27"/>
    <mergeCell ref="U27:V27"/>
    <mergeCell ref="W27:X27"/>
    <mergeCell ref="Y27:Z27"/>
    <mergeCell ref="AA27:AB27"/>
    <mergeCell ref="AC27:AD27"/>
    <mergeCell ref="AK26:AL26"/>
    <mergeCell ref="AM26:AN26"/>
    <mergeCell ref="AO26:AP26"/>
    <mergeCell ref="AQ26:AR26"/>
    <mergeCell ref="AS26:AT26"/>
    <mergeCell ref="AU26:AV26"/>
    <mergeCell ref="BC25:BD25"/>
    <mergeCell ref="S26:T26"/>
    <mergeCell ref="U26:V26"/>
    <mergeCell ref="W26:X26"/>
    <mergeCell ref="Y26:Z26"/>
    <mergeCell ref="AA26:AB26"/>
    <mergeCell ref="AC26:AD26"/>
    <mergeCell ref="AE26:AF26"/>
    <mergeCell ref="AG26:AH26"/>
    <mergeCell ref="AI26:AJ26"/>
    <mergeCell ref="AQ25:AR25"/>
    <mergeCell ref="AS25:AT25"/>
    <mergeCell ref="AU25:AV25"/>
    <mergeCell ref="AW25:AX25"/>
    <mergeCell ref="AY25:AZ25"/>
    <mergeCell ref="BA25:BB25"/>
    <mergeCell ref="AE25:AF25"/>
    <mergeCell ref="AG25:AH25"/>
    <mergeCell ref="AI25:AJ25"/>
    <mergeCell ref="AK25:AL25"/>
    <mergeCell ref="AM25:AN25"/>
    <mergeCell ref="AO25:AP25"/>
    <mergeCell ref="AW24:AX24"/>
    <mergeCell ref="AY24:AZ24"/>
    <mergeCell ref="BA24:BB24"/>
    <mergeCell ref="BC24:BD24"/>
    <mergeCell ref="S25:T25"/>
    <mergeCell ref="U25:V25"/>
    <mergeCell ref="W25:X25"/>
    <mergeCell ref="Y25:Z25"/>
    <mergeCell ref="AA25:AB25"/>
    <mergeCell ref="AC25:AD25"/>
    <mergeCell ref="AK24:AL24"/>
    <mergeCell ref="AM24:AN24"/>
    <mergeCell ref="AO24:AP24"/>
    <mergeCell ref="AQ24:AR24"/>
    <mergeCell ref="AS24:AT24"/>
    <mergeCell ref="AU24:AV24"/>
    <mergeCell ref="BC23:BD23"/>
    <mergeCell ref="S24:T24"/>
    <mergeCell ref="U24:V24"/>
    <mergeCell ref="W24:X24"/>
    <mergeCell ref="Y24:Z24"/>
    <mergeCell ref="AA24:AB24"/>
    <mergeCell ref="AC24:AD24"/>
    <mergeCell ref="AE24:AF24"/>
    <mergeCell ref="AG24:AH24"/>
    <mergeCell ref="AI24:AJ24"/>
    <mergeCell ref="AQ23:AR23"/>
    <mergeCell ref="AS23:AT23"/>
    <mergeCell ref="AU23:AV23"/>
    <mergeCell ref="AW23:AX23"/>
    <mergeCell ref="AY23:AZ23"/>
    <mergeCell ref="BA23:BB23"/>
    <mergeCell ref="AE23:AF23"/>
    <mergeCell ref="AG23:AH23"/>
    <mergeCell ref="AI23:AJ23"/>
    <mergeCell ref="AK23:AL23"/>
    <mergeCell ref="AM23:AN23"/>
    <mergeCell ref="AO23:AP23"/>
    <mergeCell ref="AW22:AX22"/>
    <mergeCell ref="AY22:AZ22"/>
    <mergeCell ref="BA22:BB22"/>
    <mergeCell ref="BC22:BD22"/>
    <mergeCell ref="S23:T23"/>
    <mergeCell ref="U23:V23"/>
    <mergeCell ref="W23:X23"/>
    <mergeCell ref="Y23:Z23"/>
    <mergeCell ref="AA23:AB23"/>
    <mergeCell ref="AC23:AD23"/>
    <mergeCell ref="AK22:AL22"/>
    <mergeCell ref="AM22:AN22"/>
    <mergeCell ref="AO22:AP22"/>
    <mergeCell ref="AQ22:AR22"/>
    <mergeCell ref="AS22:AT22"/>
    <mergeCell ref="AU22:AV22"/>
    <mergeCell ref="BC21:BD21"/>
    <mergeCell ref="S22:T22"/>
    <mergeCell ref="U22:V22"/>
    <mergeCell ref="W22:X22"/>
    <mergeCell ref="Y22:Z22"/>
    <mergeCell ref="AA22:AB22"/>
    <mergeCell ref="AC22:AD22"/>
    <mergeCell ref="AE22:AF22"/>
    <mergeCell ref="AG22:AH22"/>
    <mergeCell ref="AI22:AJ22"/>
    <mergeCell ref="AQ21:AR21"/>
    <mergeCell ref="AS21:AT21"/>
    <mergeCell ref="AU21:AV21"/>
    <mergeCell ref="AW21:AX21"/>
    <mergeCell ref="AY21:AZ21"/>
    <mergeCell ref="BA21:BB21"/>
    <mergeCell ref="AE21:AF21"/>
    <mergeCell ref="AG21:AH21"/>
    <mergeCell ref="AI21:AJ21"/>
    <mergeCell ref="AK21:AL21"/>
    <mergeCell ref="AM21:AN21"/>
    <mergeCell ref="AO21:AP21"/>
    <mergeCell ref="AW20:AX20"/>
    <mergeCell ref="AY20:AZ20"/>
    <mergeCell ref="BA20:BB20"/>
    <mergeCell ref="BC20:BD20"/>
    <mergeCell ref="S21:T21"/>
    <mergeCell ref="U21:V21"/>
    <mergeCell ref="W21:X21"/>
    <mergeCell ref="Y21:Z21"/>
    <mergeCell ref="AA21:AB21"/>
    <mergeCell ref="AC21:AD21"/>
    <mergeCell ref="AK20:AL20"/>
    <mergeCell ref="AM20:AN20"/>
    <mergeCell ref="AO20:AP20"/>
    <mergeCell ref="AQ20:AR20"/>
    <mergeCell ref="AS20:AT20"/>
    <mergeCell ref="AU20:AV20"/>
    <mergeCell ref="BC19:BD19"/>
    <mergeCell ref="S20:T20"/>
    <mergeCell ref="U20:V20"/>
    <mergeCell ref="W20:X20"/>
    <mergeCell ref="Y20:Z20"/>
    <mergeCell ref="AA20:AB20"/>
    <mergeCell ref="AC20:AD20"/>
    <mergeCell ref="AE20:AF20"/>
    <mergeCell ref="AG20:AH20"/>
    <mergeCell ref="AI20:AJ20"/>
    <mergeCell ref="AQ19:AR19"/>
    <mergeCell ref="AS19:AT19"/>
    <mergeCell ref="AU19:AV19"/>
    <mergeCell ref="AW19:AX19"/>
    <mergeCell ref="AY19:AZ19"/>
    <mergeCell ref="BA19:BB19"/>
    <mergeCell ref="AE19:AF19"/>
    <mergeCell ref="AG19:AH19"/>
    <mergeCell ref="AI19:AJ19"/>
    <mergeCell ref="AK19:AL19"/>
    <mergeCell ref="AM19:AN19"/>
    <mergeCell ref="AO19:AP19"/>
    <mergeCell ref="AW18:AX18"/>
    <mergeCell ref="AY18:AZ18"/>
    <mergeCell ref="BA18:BB18"/>
    <mergeCell ref="BC18:BD18"/>
    <mergeCell ref="S19:T19"/>
    <mergeCell ref="U19:V19"/>
    <mergeCell ref="W19:X19"/>
    <mergeCell ref="Y19:Z19"/>
    <mergeCell ref="AA19:AB19"/>
    <mergeCell ref="AC19:AD19"/>
    <mergeCell ref="AK18:AL18"/>
    <mergeCell ref="AM18:AN18"/>
    <mergeCell ref="AO18:AP18"/>
    <mergeCell ref="AQ18:AR18"/>
    <mergeCell ref="AS18:AT18"/>
    <mergeCell ref="AU18:AV18"/>
    <mergeCell ref="BC17:BD17"/>
    <mergeCell ref="S18:T18"/>
    <mergeCell ref="U18:V18"/>
    <mergeCell ref="W18:X18"/>
    <mergeCell ref="Y18:Z18"/>
    <mergeCell ref="AA18:AB18"/>
    <mergeCell ref="AC18:AD18"/>
    <mergeCell ref="AE18:AF18"/>
    <mergeCell ref="AG18:AH18"/>
    <mergeCell ref="AI18:AJ18"/>
    <mergeCell ref="AQ17:AR17"/>
    <mergeCell ref="AS17:AT17"/>
    <mergeCell ref="AU17:AV17"/>
    <mergeCell ref="AW17:AX17"/>
    <mergeCell ref="AY17:AZ17"/>
    <mergeCell ref="BA17:BB17"/>
    <mergeCell ref="AE17:AF17"/>
    <mergeCell ref="AG17:AH17"/>
    <mergeCell ref="AI17:AJ17"/>
    <mergeCell ref="AK17:AL17"/>
    <mergeCell ref="AM17:AN17"/>
    <mergeCell ref="AO17:AP17"/>
    <mergeCell ref="S17:T17"/>
    <mergeCell ref="U17:V17"/>
    <mergeCell ref="W17:X17"/>
    <mergeCell ref="Y17:Z17"/>
    <mergeCell ref="AA17:AB17"/>
    <mergeCell ref="AC17:AD17"/>
    <mergeCell ref="AS16:AT16"/>
    <mergeCell ref="AU16:AV16"/>
    <mergeCell ref="AW16:AX16"/>
    <mergeCell ref="AY16:AZ16"/>
    <mergeCell ref="BA16:BB16"/>
    <mergeCell ref="BC16:BD16"/>
    <mergeCell ref="AG16:AH16"/>
    <mergeCell ref="AI16:AJ16"/>
    <mergeCell ref="AK16:AL16"/>
    <mergeCell ref="AM16:AN16"/>
    <mergeCell ref="AO16:AP16"/>
    <mergeCell ref="AQ16:AR16"/>
    <mergeCell ref="U16:V16"/>
    <mergeCell ref="W16:X16"/>
    <mergeCell ref="Y16:Z16"/>
    <mergeCell ref="AA16:AB16"/>
    <mergeCell ref="AC16:AD16"/>
    <mergeCell ref="AE16:AF16"/>
    <mergeCell ref="AS15:AT15"/>
    <mergeCell ref="AU15:AV15"/>
    <mergeCell ref="AW15:AX15"/>
    <mergeCell ref="AY15:AZ15"/>
    <mergeCell ref="BA15:BB15"/>
    <mergeCell ref="BC15:BD15"/>
    <mergeCell ref="AG15:AH15"/>
    <mergeCell ref="AI15:AJ15"/>
    <mergeCell ref="AK15:AL15"/>
    <mergeCell ref="AM15:AN15"/>
    <mergeCell ref="AO15:AP15"/>
    <mergeCell ref="AQ15:AR15"/>
    <mergeCell ref="U15:V15"/>
    <mergeCell ref="W15:X15"/>
    <mergeCell ref="Y15:Z15"/>
    <mergeCell ref="AA15:AB15"/>
    <mergeCell ref="AC15:AD15"/>
    <mergeCell ref="AE15:AF15"/>
    <mergeCell ref="AS14:AT14"/>
    <mergeCell ref="AU14:AV14"/>
    <mergeCell ref="AW14:AX14"/>
    <mergeCell ref="AY14:AZ14"/>
    <mergeCell ref="BA14:BB14"/>
    <mergeCell ref="BC14:BD14"/>
    <mergeCell ref="AG14:AH14"/>
    <mergeCell ref="AI14:AJ14"/>
    <mergeCell ref="AK14:AL14"/>
    <mergeCell ref="AM14:AN14"/>
    <mergeCell ref="AO14:AP14"/>
    <mergeCell ref="AQ14:AR14"/>
    <mergeCell ref="U14:V14"/>
    <mergeCell ref="W14:X14"/>
    <mergeCell ref="Y14:Z14"/>
    <mergeCell ref="AA14:AB14"/>
    <mergeCell ref="AC14:AD14"/>
    <mergeCell ref="AE14:AF14"/>
    <mergeCell ref="AS13:AT13"/>
    <mergeCell ref="AU13:AV13"/>
    <mergeCell ref="AW13:AX13"/>
    <mergeCell ref="AY13:AZ13"/>
    <mergeCell ref="BA13:BB13"/>
    <mergeCell ref="BC13:BD13"/>
    <mergeCell ref="AG13:AH13"/>
    <mergeCell ref="AI13:AJ13"/>
    <mergeCell ref="AK13:AL13"/>
    <mergeCell ref="AM13:AN13"/>
    <mergeCell ref="AO13:AP13"/>
    <mergeCell ref="AQ13:AR13"/>
    <mergeCell ref="U13:V13"/>
    <mergeCell ref="W13:X13"/>
    <mergeCell ref="Y13:Z13"/>
    <mergeCell ref="AA13:AB13"/>
    <mergeCell ref="AC13:AD13"/>
    <mergeCell ref="AE13:AF13"/>
    <mergeCell ref="AS12:AT12"/>
    <mergeCell ref="AU12:AV12"/>
    <mergeCell ref="AW12:AX12"/>
    <mergeCell ref="AY12:AZ12"/>
    <mergeCell ref="BA12:BB12"/>
    <mergeCell ref="BC12:BD12"/>
    <mergeCell ref="AG12:AH12"/>
    <mergeCell ref="AI12:AJ12"/>
    <mergeCell ref="AK12:AL12"/>
    <mergeCell ref="AM12:AN12"/>
    <mergeCell ref="AO12:AP12"/>
    <mergeCell ref="AQ12:AR12"/>
    <mergeCell ref="U12:V12"/>
    <mergeCell ref="W12:X12"/>
    <mergeCell ref="Y12:Z12"/>
    <mergeCell ref="AA12:AB12"/>
    <mergeCell ref="AC12:AD12"/>
    <mergeCell ref="AE12:AF12"/>
    <mergeCell ref="Q66:R66"/>
    <mergeCell ref="Q67:R67"/>
    <mergeCell ref="Q68:R68"/>
    <mergeCell ref="Q69:R69"/>
    <mergeCell ref="Q70:R70"/>
    <mergeCell ref="S14:T14"/>
    <mergeCell ref="S15:T15"/>
    <mergeCell ref="S16:T16"/>
    <mergeCell ref="Q60:R60"/>
    <mergeCell ref="Q61:R61"/>
    <mergeCell ref="Q62:R62"/>
    <mergeCell ref="Q63:R63"/>
    <mergeCell ref="Q64:R64"/>
    <mergeCell ref="Q65:R65"/>
    <mergeCell ref="Q54:R54"/>
    <mergeCell ref="Q55:R55"/>
    <mergeCell ref="Q56:R56"/>
    <mergeCell ref="Q57:R57"/>
    <mergeCell ref="Q58:R58"/>
    <mergeCell ref="Q59:R59"/>
    <mergeCell ref="Q48:R48"/>
    <mergeCell ref="Q49:R49"/>
    <mergeCell ref="Q50:R50"/>
    <mergeCell ref="Q51:R51"/>
    <mergeCell ref="Q52:R52"/>
    <mergeCell ref="Q53:R53"/>
    <mergeCell ref="Q42:R42"/>
    <mergeCell ref="Q43:R43"/>
    <mergeCell ref="Q44:R44"/>
    <mergeCell ref="Q45:R45"/>
    <mergeCell ref="Q46:R46"/>
    <mergeCell ref="Q47:R47"/>
    <mergeCell ref="Q36:R36"/>
    <mergeCell ref="Q37:R37"/>
    <mergeCell ref="Q38:R38"/>
    <mergeCell ref="Q39:R39"/>
    <mergeCell ref="Q40:R40"/>
    <mergeCell ref="Q41:R41"/>
    <mergeCell ref="Q30:R30"/>
    <mergeCell ref="Q31:R31"/>
    <mergeCell ref="Q32:R32"/>
    <mergeCell ref="Q33:R33"/>
    <mergeCell ref="Q34:R34"/>
    <mergeCell ref="Q35:R35"/>
    <mergeCell ref="Q24:R24"/>
    <mergeCell ref="Q25:R25"/>
    <mergeCell ref="Q26:R26"/>
    <mergeCell ref="Q27:R27"/>
    <mergeCell ref="Q28:R28"/>
    <mergeCell ref="Q29:R29"/>
    <mergeCell ref="Q18:R18"/>
    <mergeCell ref="Q19:R19"/>
    <mergeCell ref="Q20:R20"/>
    <mergeCell ref="Q21:R21"/>
    <mergeCell ref="Q22:R22"/>
    <mergeCell ref="Q23:R23"/>
    <mergeCell ref="Q12:R12"/>
    <mergeCell ref="Q13:R13"/>
    <mergeCell ref="Q14:R14"/>
    <mergeCell ref="Q15:R15"/>
    <mergeCell ref="Q16:R16"/>
    <mergeCell ref="Q17:R17"/>
    <mergeCell ref="M10:M11"/>
    <mergeCell ref="E5:E6"/>
    <mergeCell ref="D10:D11"/>
    <mergeCell ref="N8:P8"/>
    <mergeCell ref="H10:H11"/>
    <mergeCell ref="G10:G11"/>
    <mergeCell ref="F10:F11"/>
    <mergeCell ref="E10:E11"/>
    <mergeCell ref="L10:L11"/>
    <mergeCell ref="L7:P7"/>
    <mergeCell ref="Q6:R6"/>
    <mergeCell ref="S6:T6"/>
    <mergeCell ref="B6:C6"/>
    <mergeCell ref="B4:C4"/>
    <mergeCell ref="B3:C3"/>
    <mergeCell ref="B2:C2"/>
    <mergeCell ref="B5:C5"/>
    <mergeCell ref="N6:P6"/>
    <mergeCell ref="U6:V6"/>
    <mergeCell ref="W6:X6"/>
    <mergeCell ref="Y6:Z6"/>
    <mergeCell ref="AA6:AB6"/>
    <mergeCell ref="AC6:AD6"/>
    <mergeCell ref="AE6:AF6"/>
    <mergeCell ref="AG6:AH6"/>
    <mergeCell ref="AI6:AJ6"/>
    <mergeCell ref="AK6:AL6"/>
    <mergeCell ref="AM6:AN6"/>
    <mergeCell ref="AO6:AP6"/>
    <mergeCell ref="AQ6:AR6"/>
    <mergeCell ref="AS6:AT6"/>
    <mergeCell ref="AU6:AV6"/>
    <mergeCell ref="AW6:AX6"/>
    <mergeCell ref="AY6:AZ6"/>
    <mergeCell ref="BA6:BB6"/>
    <mergeCell ref="BC6:BD6"/>
    <mergeCell ref="U7:V7"/>
    <mergeCell ref="W7:X7"/>
    <mergeCell ref="Y7:Z7"/>
    <mergeCell ref="AA7:AB7"/>
    <mergeCell ref="AC7:AD7"/>
    <mergeCell ref="AE7:AF7"/>
    <mergeCell ref="AG7:AH7"/>
    <mergeCell ref="AI7:AJ7"/>
    <mergeCell ref="AK7:AL7"/>
    <mergeCell ref="AM7:AN7"/>
    <mergeCell ref="AO7:AP7"/>
    <mergeCell ref="AQ7:AR7"/>
    <mergeCell ref="AS7:AT7"/>
    <mergeCell ref="AU7:AV7"/>
    <mergeCell ref="AW7:AX7"/>
    <mergeCell ref="AY7:AZ7"/>
    <mergeCell ref="BA7:BB7"/>
    <mergeCell ref="BC7:BD7"/>
    <mergeCell ref="U8:V8"/>
    <mergeCell ref="W8:X8"/>
    <mergeCell ref="Y8:Z8"/>
    <mergeCell ref="AA8:AB8"/>
    <mergeCell ref="AC8:AD8"/>
    <mergeCell ref="AE8:AF8"/>
    <mergeCell ref="AG8:AH8"/>
    <mergeCell ref="AI8:AJ8"/>
    <mergeCell ref="AK8:AL8"/>
    <mergeCell ref="AM8:AN8"/>
    <mergeCell ref="AO8:AP8"/>
    <mergeCell ref="AQ8:AR8"/>
    <mergeCell ref="AS8:AT8"/>
    <mergeCell ref="AU8:AV8"/>
    <mergeCell ref="AW8:AX8"/>
    <mergeCell ref="AY8:AZ8"/>
    <mergeCell ref="BA8:BB8"/>
    <mergeCell ref="BC8:BD8"/>
    <mergeCell ref="U9:V9"/>
    <mergeCell ref="W9:X9"/>
    <mergeCell ref="Y9:Z9"/>
    <mergeCell ref="AA9:AB9"/>
    <mergeCell ref="AC9:AD9"/>
    <mergeCell ref="AE9:AF9"/>
    <mergeCell ref="AG9:AH9"/>
    <mergeCell ref="AI9:AJ9"/>
    <mergeCell ref="AK9:AL9"/>
    <mergeCell ref="AM9:AN9"/>
    <mergeCell ref="AO9:AP9"/>
    <mergeCell ref="AQ9:AR9"/>
    <mergeCell ref="BA9:BB9"/>
    <mergeCell ref="BC9:BD9"/>
    <mergeCell ref="AS9:AT9"/>
    <mergeCell ref="AU9:AV9"/>
    <mergeCell ref="AW9:AX9"/>
    <mergeCell ref="AY9:AZ9"/>
    <mergeCell ref="AY10:AZ11"/>
    <mergeCell ref="BC10:BD11"/>
    <mergeCell ref="AW10:AX11"/>
    <mergeCell ref="BA10:BB11"/>
    <mergeCell ref="Q72:R72"/>
    <mergeCell ref="S72:T72"/>
    <mergeCell ref="U72:V72"/>
    <mergeCell ref="W72:X72"/>
    <mergeCell ref="AK72:AL72"/>
    <mergeCell ref="AM72:AN72"/>
    <mergeCell ref="AO72:AP72"/>
    <mergeCell ref="Y72:Z72"/>
    <mergeCell ref="AA72:AB72"/>
    <mergeCell ref="AC72:AD72"/>
    <mergeCell ref="AE72:AF72"/>
    <mergeCell ref="AG72:AH72"/>
    <mergeCell ref="AI72:AJ72"/>
    <mergeCell ref="AY72:AZ72"/>
    <mergeCell ref="BA72:BB72"/>
    <mergeCell ref="BC72:BD72"/>
    <mergeCell ref="AQ72:AR72"/>
    <mergeCell ref="AS72:AT72"/>
    <mergeCell ref="AU72:AV72"/>
    <mergeCell ref="AW72:AX72"/>
    <mergeCell ref="B10:B11"/>
    <mergeCell ref="A10:A11"/>
    <mergeCell ref="C10:C11"/>
    <mergeCell ref="K10:K11"/>
    <mergeCell ref="J10:J11"/>
    <mergeCell ref="I10:I11"/>
    <mergeCell ref="O10:O11"/>
    <mergeCell ref="N10:N11"/>
    <mergeCell ref="Q73:R75"/>
    <mergeCell ref="S73:T75"/>
    <mergeCell ref="U73:V75"/>
    <mergeCell ref="W73:X75"/>
    <mergeCell ref="Q10:R11"/>
    <mergeCell ref="S10:T11"/>
    <mergeCell ref="W10:X11"/>
    <mergeCell ref="P10:P11"/>
    <mergeCell ref="Y73:Z75"/>
    <mergeCell ref="AA73:AB75"/>
    <mergeCell ref="AC73:AD75"/>
    <mergeCell ref="AE73:AF75"/>
    <mergeCell ref="AG73:AH75"/>
    <mergeCell ref="AI73:AJ75"/>
    <mergeCell ref="AK73:AL75"/>
    <mergeCell ref="AM73:AN75"/>
    <mergeCell ref="BA73:BB75"/>
    <mergeCell ref="BC73:BD75"/>
    <mergeCell ref="AO73:AP75"/>
    <mergeCell ref="AQ73:AR75"/>
    <mergeCell ref="AS73:AT75"/>
    <mergeCell ref="AU73:AV75"/>
    <mergeCell ref="AW73:AX75"/>
    <mergeCell ref="AY73:AZ75"/>
    <mergeCell ref="L9:O9"/>
    <mergeCell ref="S7:T7"/>
    <mergeCell ref="Q7:R7"/>
    <mergeCell ref="S9:T9"/>
    <mergeCell ref="Q9:R9"/>
    <mergeCell ref="S8:T8"/>
    <mergeCell ref="Q8:R8"/>
  </mergeCells>
  <printOptions/>
  <pageMargins left="0.46" right="0.24" top="0.67" bottom="0.5905511811023623" header="0.38" footer="0.5118110236220472"/>
  <pageSetup orientation="portrait" paperSize="9" scale="75" r:id="rId3"/>
  <headerFooter alignWithMargins="0">
    <oddHeader>&amp;L&amp;F&amp;C&amp;A</oddHeader>
  </headerFooter>
  <legacyDrawing r:id="rId2"/>
</worksheet>
</file>

<file path=xl/worksheets/sheet4.xml><?xml version="1.0" encoding="utf-8"?>
<worksheet xmlns="http://schemas.openxmlformats.org/spreadsheetml/2006/main" xmlns:r="http://schemas.openxmlformats.org/officeDocument/2006/relationships">
  <dimension ref="A1:W125"/>
  <sheetViews>
    <sheetView zoomScale="85" zoomScaleNormal="85"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C13" sqref="C13"/>
    </sheetView>
  </sheetViews>
  <sheetFormatPr defaultColWidth="9.00390625" defaultRowHeight="13.5"/>
  <cols>
    <col min="1" max="1" width="3.375" style="0" customWidth="1"/>
    <col min="2" max="2" width="17.125" style="0" customWidth="1"/>
    <col min="3" max="3" width="25.50390625" style="0" customWidth="1"/>
    <col min="4" max="4" width="7.125" style="0" customWidth="1"/>
    <col min="5" max="5" width="7.50390625" style="0" customWidth="1"/>
    <col min="6" max="6" width="8.875" style="0" customWidth="1"/>
    <col min="7" max="7" width="8.00390625" style="0" customWidth="1"/>
    <col min="8" max="8" width="6.875" style="0" customWidth="1"/>
    <col min="9" max="10" width="6.25390625" style="0" customWidth="1"/>
    <col min="11" max="12" width="5.625" style="0" customWidth="1"/>
    <col min="13" max="13" width="7.375" style="0" customWidth="1"/>
    <col min="14" max="14" width="10.25390625" style="0" customWidth="1"/>
    <col min="15" max="15" width="9.875" style="0" customWidth="1"/>
    <col min="16" max="16" width="6.75390625" style="0" customWidth="1"/>
    <col min="17" max="17" width="7.625" style="0" customWidth="1"/>
    <col min="18" max="18" width="7.125" style="0" customWidth="1"/>
    <col min="19" max="19" width="12.25390625" style="0" bestFit="1" customWidth="1"/>
    <col min="20" max="20" width="8.875" style="0" customWidth="1"/>
    <col min="21" max="21" width="11.125" style="0" customWidth="1"/>
    <col min="22" max="22" width="17.375" style="0" customWidth="1"/>
    <col min="23" max="23" width="6.25390625" style="0" customWidth="1"/>
  </cols>
  <sheetData>
    <row r="1" spans="1:15" ht="6" customHeight="1">
      <c r="A1" s="84"/>
      <c r="B1" s="84"/>
      <c r="C1" s="84"/>
      <c r="D1" s="85"/>
      <c r="E1" s="86"/>
      <c r="F1" s="86"/>
      <c r="G1" s="87"/>
      <c r="H1" s="87"/>
      <c r="I1" s="84"/>
      <c r="J1" s="88"/>
      <c r="K1" s="84"/>
      <c r="L1" s="84"/>
      <c r="M1" s="84"/>
      <c r="N1" s="88"/>
      <c r="O1" s="84"/>
    </row>
    <row r="2" spans="1:15" ht="13.5" customHeight="1">
      <c r="A2" s="84"/>
      <c r="B2" s="347" t="s">
        <v>105</v>
      </c>
      <c r="C2" s="1039" t="s">
        <v>158</v>
      </c>
      <c r="D2" s="1042" t="s">
        <v>122</v>
      </c>
      <c r="E2" s="290" t="s">
        <v>108</v>
      </c>
      <c r="F2" s="89">
        <f>'能力'!AJ84</f>
        <v>233</v>
      </c>
      <c r="G2" s="1025" t="s">
        <v>109</v>
      </c>
      <c r="H2" s="1027">
        <f>'能力'!AF4</f>
        <v>0</v>
      </c>
      <c r="I2" s="1050" t="s">
        <v>110</v>
      </c>
      <c r="J2" s="1050"/>
      <c r="K2" s="1051">
        <f>(K4+K6)</f>
        <v>82000</v>
      </c>
      <c r="L2" s="1051"/>
      <c r="M2" s="1052" t="s">
        <v>111</v>
      </c>
      <c r="N2" s="1053"/>
      <c r="O2" s="84"/>
    </row>
    <row r="3" spans="1:15" ht="13.5">
      <c r="A3" s="84"/>
      <c r="B3" s="1023">
        <v>82000</v>
      </c>
      <c r="C3" s="1040"/>
      <c r="D3" s="1043"/>
      <c r="E3" s="291" t="s">
        <v>112</v>
      </c>
      <c r="F3" s="90">
        <f>'能力'!AL84</f>
        <v>466</v>
      </c>
      <c r="G3" s="1025"/>
      <c r="H3" s="1027"/>
      <c r="I3" s="1050"/>
      <c r="J3" s="1050"/>
      <c r="K3" s="1051"/>
      <c r="L3" s="1051"/>
      <c r="M3" s="293" t="s">
        <v>113</v>
      </c>
      <c r="N3" s="91">
        <f>ROUNDDOWN(K6/10,0)</f>
        <v>90</v>
      </c>
      <c r="O3" s="84"/>
    </row>
    <row r="4" spans="1:15" ht="13.5" customHeight="1">
      <c r="A4" s="84"/>
      <c r="B4" s="1024"/>
      <c r="C4" s="1040"/>
      <c r="D4" s="1044"/>
      <c r="E4" s="292" t="s">
        <v>114</v>
      </c>
      <c r="F4" s="92">
        <f>'能力'!AN84</f>
        <v>700</v>
      </c>
      <c r="G4" s="1025" t="s">
        <v>395</v>
      </c>
      <c r="H4" s="1027">
        <f>H6+H2</f>
        <v>46.8</v>
      </c>
      <c r="I4" s="1028" t="s">
        <v>115</v>
      </c>
      <c r="J4" s="1029"/>
      <c r="K4" s="1032">
        <f>SUM(H10:H120)</f>
        <v>81100</v>
      </c>
      <c r="L4" s="1032"/>
      <c r="M4" s="294" t="s">
        <v>116</v>
      </c>
      <c r="N4" s="91">
        <f>ROUNDDOWN(INT(K6)-N3*10,0)</f>
        <v>0</v>
      </c>
      <c r="O4" s="84"/>
    </row>
    <row r="5" spans="1:15" ht="13.5">
      <c r="A5" s="84"/>
      <c r="B5" s="84"/>
      <c r="C5" s="1040"/>
      <c r="D5" s="1033" t="s">
        <v>497</v>
      </c>
      <c r="E5" s="1035" t="str">
        <f>IF(H6&gt;F4,"Over",IF(H6&gt;F3,"Heavy",IF(H6&gt;F2,"Medium","Light")))</f>
        <v>Light</v>
      </c>
      <c r="F5" s="1036"/>
      <c r="G5" s="1026"/>
      <c r="H5" s="1027"/>
      <c r="I5" s="1030"/>
      <c r="J5" s="1031"/>
      <c r="K5" s="1032"/>
      <c r="L5" s="1032"/>
      <c r="M5" s="294" t="s">
        <v>117</v>
      </c>
      <c r="N5" s="91">
        <f>ROUNDDOWN(INT(K6*10)-N3*100-N4*10,0)</f>
        <v>0</v>
      </c>
      <c r="O5" s="84"/>
    </row>
    <row r="6" spans="1:15" ht="13.5" customHeight="1">
      <c r="A6" s="84"/>
      <c r="B6" s="84"/>
      <c r="C6" s="1040"/>
      <c r="D6" s="1034"/>
      <c r="E6" s="1037"/>
      <c r="F6" s="1038"/>
      <c r="G6" s="1054" t="s">
        <v>118</v>
      </c>
      <c r="H6" s="1056">
        <f>SUM(F10:F121)+N7</f>
        <v>46.8</v>
      </c>
      <c r="I6" s="1028" t="s">
        <v>119</v>
      </c>
      <c r="J6" s="1029"/>
      <c r="K6" s="1045">
        <f>B3-K4</f>
        <v>900</v>
      </c>
      <c r="L6" s="1045"/>
      <c r="M6" s="295" t="s">
        <v>120</v>
      </c>
      <c r="N6" s="93">
        <f>ROUNDDOWN(K6*100-N3*1000-N4*100-N5*10,0)</f>
        <v>0</v>
      </c>
      <c r="O6" s="84"/>
    </row>
    <row r="7" spans="1:15" ht="13.5">
      <c r="A7" s="84"/>
      <c r="B7" s="84"/>
      <c r="C7" s="1041"/>
      <c r="D7" s="1046" t="s">
        <v>121</v>
      </c>
      <c r="E7" s="1047"/>
      <c r="F7" s="94">
        <f>IF(F2&lt;H6,IF(F3&lt;H6,IF(F4&lt;H6,"超過",F4-H6),F3-H6),F2-H6)</f>
        <v>186.2</v>
      </c>
      <c r="G7" s="1055"/>
      <c r="H7" s="1057"/>
      <c r="I7" s="1030"/>
      <c r="J7" s="1031"/>
      <c r="K7" s="1045"/>
      <c r="L7" s="1045"/>
      <c r="M7" s="95" t="s">
        <v>163</v>
      </c>
      <c r="N7" s="91">
        <f>ROUNDUP(SUM(N3:N6)/50,1)</f>
        <v>1.8</v>
      </c>
      <c r="O7" s="84"/>
    </row>
    <row r="8" spans="1:15" ht="6" customHeight="1">
      <c r="A8" s="84"/>
      <c r="B8" s="84"/>
      <c r="C8" s="96"/>
      <c r="D8" s="97"/>
      <c r="E8" s="97"/>
      <c r="F8" s="98"/>
      <c r="G8" s="99"/>
      <c r="H8" s="98"/>
      <c r="I8" s="84"/>
      <c r="J8" s="84"/>
      <c r="K8" s="84"/>
      <c r="L8" s="100"/>
      <c r="M8" s="101"/>
      <c r="N8" s="97"/>
      <c r="O8" s="97"/>
    </row>
    <row r="9" spans="1:15" ht="13.5">
      <c r="A9" s="88" t="s">
        <v>164</v>
      </c>
      <c r="B9" s="2" t="s">
        <v>165</v>
      </c>
      <c r="C9" s="2" t="s">
        <v>166</v>
      </c>
      <c r="D9" s="103" t="s">
        <v>167</v>
      </c>
      <c r="E9" s="104" t="s">
        <v>168</v>
      </c>
      <c r="F9" s="143" t="s">
        <v>169</v>
      </c>
      <c r="G9" s="144" t="s">
        <v>170</v>
      </c>
      <c r="H9" s="144" t="s">
        <v>171</v>
      </c>
      <c r="I9" s="2" t="s">
        <v>172</v>
      </c>
      <c r="J9" s="97" t="s">
        <v>173</v>
      </c>
      <c r="K9" s="97" t="s">
        <v>174</v>
      </c>
      <c r="L9" s="102" t="s">
        <v>478</v>
      </c>
      <c r="M9" s="88" t="s">
        <v>175</v>
      </c>
      <c r="N9" s="88" t="s">
        <v>160</v>
      </c>
      <c r="O9" s="88" t="s">
        <v>159</v>
      </c>
    </row>
    <row r="10" spans="1:23" ht="6.75" customHeight="1">
      <c r="A10" s="84"/>
      <c r="B10" s="145"/>
      <c r="C10" s="146"/>
      <c r="D10" s="109"/>
      <c r="E10" s="110"/>
      <c r="F10" s="105"/>
      <c r="G10" s="106"/>
      <c r="H10" s="107"/>
      <c r="I10" s="147"/>
      <c r="J10" s="112"/>
      <c r="K10" s="147"/>
      <c r="L10" s="147"/>
      <c r="M10" s="147"/>
      <c r="N10" s="108"/>
      <c r="O10" s="1048" t="s">
        <v>176</v>
      </c>
      <c r="P10" s="1048" t="s">
        <v>177</v>
      </c>
      <c r="Q10" s="1048" t="s">
        <v>178</v>
      </c>
      <c r="R10" s="1048" t="s">
        <v>179</v>
      </c>
      <c r="S10" s="1048" t="s">
        <v>180</v>
      </c>
      <c r="T10" s="1048" t="s">
        <v>181</v>
      </c>
      <c r="U10" s="1058"/>
      <c r="V10" s="84"/>
      <c r="W10" s="84"/>
    </row>
    <row r="11" spans="1:23" ht="6.75" customHeight="1">
      <c r="A11" s="84"/>
      <c r="B11" s="145"/>
      <c r="C11" s="146"/>
      <c r="D11" s="109"/>
      <c r="E11" s="110"/>
      <c r="F11" s="105"/>
      <c r="G11" s="106"/>
      <c r="H11" s="107"/>
      <c r="I11" s="147"/>
      <c r="J11" s="112"/>
      <c r="K11" s="147"/>
      <c r="L11" s="147"/>
      <c r="M11" s="147"/>
      <c r="N11" s="108"/>
      <c r="O11" s="1049"/>
      <c r="P11" s="1049"/>
      <c r="Q11" s="1049"/>
      <c r="R11" s="1049"/>
      <c r="S11" s="1049"/>
      <c r="T11" s="1049"/>
      <c r="U11" s="1059"/>
      <c r="V11" s="84"/>
      <c r="W11" s="84"/>
    </row>
    <row r="12" spans="1:23" ht="15" customHeight="1">
      <c r="A12" s="88"/>
      <c r="B12" s="156" t="s">
        <v>182</v>
      </c>
      <c r="C12" s="370" t="s">
        <v>928</v>
      </c>
      <c r="D12" s="120">
        <v>1</v>
      </c>
      <c r="E12" s="121">
        <v>45</v>
      </c>
      <c r="F12" s="117">
        <f aca="true" t="shared" si="0" ref="F12:F75">D12*E12</f>
        <v>45</v>
      </c>
      <c r="G12" s="122">
        <v>4050</v>
      </c>
      <c r="H12" s="118">
        <f>G12*D12</f>
        <v>4050</v>
      </c>
      <c r="I12" s="119"/>
      <c r="J12" s="119"/>
      <c r="K12" s="119"/>
      <c r="L12" s="119"/>
      <c r="M12" s="119"/>
      <c r="N12" s="119"/>
      <c r="O12" s="297">
        <v>4</v>
      </c>
      <c r="P12" s="124">
        <v>6</v>
      </c>
      <c r="Q12" s="125"/>
      <c r="R12" s="124">
        <v>-5</v>
      </c>
      <c r="S12" s="126">
        <v>0</v>
      </c>
      <c r="T12" s="1060" t="s">
        <v>938</v>
      </c>
      <c r="U12" s="1061"/>
      <c r="V12" s="88"/>
      <c r="W12" s="88"/>
    </row>
    <row r="13" spans="1:23" ht="15" customHeight="1">
      <c r="A13" s="88"/>
      <c r="B13" s="157" t="s">
        <v>421</v>
      </c>
      <c r="C13" s="370"/>
      <c r="D13" s="120"/>
      <c r="E13" s="121"/>
      <c r="F13" s="117">
        <f t="shared" si="0"/>
        <v>0</v>
      </c>
      <c r="G13" s="122"/>
      <c r="H13" s="118">
        <f>G13*D13</f>
        <v>0</v>
      </c>
      <c r="I13" s="119"/>
      <c r="J13" s="119"/>
      <c r="K13" s="119"/>
      <c r="L13" s="119"/>
      <c r="M13" s="119"/>
      <c r="N13" s="119"/>
      <c r="O13" s="123" t="s">
        <v>183</v>
      </c>
      <c r="P13" s="124"/>
      <c r="Q13" s="125"/>
      <c r="R13" s="124"/>
      <c r="S13" s="126">
        <v>0</v>
      </c>
      <c r="T13" s="1060"/>
      <c r="U13" s="1061"/>
      <c r="V13" s="88"/>
      <c r="W13" s="88"/>
    </row>
    <row r="14" spans="1:23" ht="15" customHeight="1">
      <c r="A14" s="88"/>
      <c r="B14" s="157" t="s">
        <v>184</v>
      </c>
      <c r="C14" s="371"/>
      <c r="D14" s="128"/>
      <c r="E14" s="129"/>
      <c r="F14" s="117">
        <v>0</v>
      </c>
      <c r="G14" s="130"/>
      <c r="H14" s="118">
        <f>G14*D14</f>
        <v>0</v>
      </c>
      <c r="I14" s="119"/>
      <c r="J14" s="119"/>
      <c r="K14" s="119"/>
      <c r="L14" s="119"/>
      <c r="M14" s="119"/>
      <c r="N14" s="119"/>
      <c r="O14" s="123" t="s">
        <v>185</v>
      </c>
      <c r="P14" s="124"/>
      <c r="Q14" s="119"/>
      <c r="R14" s="119"/>
      <c r="S14" s="119"/>
      <c r="T14" s="1062"/>
      <c r="U14" s="1063"/>
      <c r="V14" s="88"/>
      <c r="W14" s="88"/>
    </row>
    <row r="15" spans="1:23" ht="15" customHeight="1">
      <c r="A15" s="88"/>
      <c r="B15" s="157" t="s">
        <v>186</v>
      </c>
      <c r="C15" s="370"/>
      <c r="D15" s="120"/>
      <c r="E15" s="121"/>
      <c r="F15" s="117">
        <f t="shared" si="0"/>
        <v>0</v>
      </c>
      <c r="G15" s="122"/>
      <c r="H15" s="118">
        <f>G15*D15</f>
        <v>0</v>
      </c>
      <c r="I15" s="119"/>
      <c r="J15" s="119"/>
      <c r="K15" s="119"/>
      <c r="L15" s="119"/>
      <c r="M15" s="119"/>
      <c r="N15" s="119"/>
      <c r="O15" s="297">
        <v>7</v>
      </c>
      <c r="P15" s="124"/>
      <c r="Q15" s="125"/>
      <c r="R15" s="124"/>
      <c r="S15" s="126">
        <v>0</v>
      </c>
      <c r="T15" s="1060"/>
      <c r="U15" s="1061"/>
      <c r="V15" s="88"/>
      <c r="W15" s="88"/>
    </row>
    <row r="16" spans="1:23" ht="15" customHeight="1">
      <c r="A16" s="88"/>
      <c r="B16" s="520" t="s">
        <v>187</v>
      </c>
      <c r="C16" s="371" t="s">
        <v>647</v>
      </c>
      <c r="D16" s="128"/>
      <c r="E16" s="129"/>
      <c r="F16" s="117">
        <f t="shared" si="0"/>
        <v>0</v>
      </c>
      <c r="G16" s="130"/>
      <c r="H16" s="118">
        <f>G16*D16</f>
        <v>0</v>
      </c>
      <c r="I16" s="119"/>
      <c r="J16" s="119"/>
      <c r="K16" s="119"/>
      <c r="L16" s="119"/>
      <c r="M16" s="119"/>
      <c r="N16" s="119"/>
      <c r="O16" s="136">
        <v>7</v>
      </c>
      <c r="P16" s="136"/>
      <c r="Q16" s="518"/>
      <c r="R16" s="136"/>
      <c r="S16" s="519">
        <v>0</v>
      </c>
      <c r="T16" s="1064"/>
      <c r="U16" s="1065"/>
      <c r="V16" s="88"/>
      <c r="W16" s="88"/>
    </row>
    <row r="17" spans="1:23" ht="6.75" customHeight="1">
      <c r="A17" s="112"/>
      <c r="B17" s="108"/>
      <c r="C17" s="372"/>
      <c r="D17" s="109"/>
      <c r="E17" s="110"/>
      <c r="F17" s="105"/>
      <c r="G17" s="111"/>
      <c r="H17" s="107"/>
      <c r="I17" s="112"/>
      <c r="J17" s="112"/>
      <c r="K17" s="112"/>
      <c r="L17" s="112"/>
      <c r="M17" s="112"/>
      <c r="N17" s="112"/>
      <c r="O17" s="1066" t="s">
        <v>188</v>
      </c>
      <c r="P17" s="1048" t="s">
        <v>189</v>
      </c>
      <c r="Q17" s="1048" t="s">
        <v>190</v>
      </c>
      <c r="R17" s="1048" t="s">
        <v>191</v>
      </c>
      <c r="S17" s="1048" t="s">
        <v>321</v>
      </c>
      <c r="T17" s="1048" t="s">
        <v>36</v>
      </c>
      <c r="U17" s="1048" t="s">
        <v>192</v>
      </c>
      <c r="V17" s="1058" t="s">
        <v>193</v>
      </c>
      <c r="W17" s="112"/>
    </row>
    <row r="18" spans="1:23" ht="6.75" customHeight="1">
      <c r="A18" s="88"/>
      <c r="B18" s="108"/>
      <c r="C18" s="372"/>
      <c r="D18" s="109"/>
      <c r="E18" s="110"/>
      <c r="F18" s="105"/>
      <c r="G18" s="111"/>
      <c r="H18" s="107"/>
      <c r="I18" s="112"/>
      <c r="J18" s="112"/>
      <c r="K18" s="112"/>
      <c r="L18" s="112"/>
      <c r="M18" s="112"/>
      <c r="N18" s="112"/>
      <c r="O18" s="1067"/>
      <c r="P18" s="1049"/>
      <c r="Q18" s="1049"/>
      <c r="R18" s="1049"/>
      <c r="S18" s="1049"/>
      <c r="T18" s="1049"/>
      <c r="U18" s="1049"/>
      <c r="V18" s="1059"/>
      <c r="W18" s="88"/>
    </row>
    <row r="19" spans="1:23" ht="15" customHeight="1">
      <c r="A19" s="88"/>
      <c r="B19" s="154" t="s">
        <v>194</v>
      </c>
      <c r="C19" s="373" t="s">
        <v>934</v>
      </c>
      <c r="D19" s="120">
        <v>1</v>
      </c>
      <c r="E19" s="121"/>
      <c r="F19" s="117">
        <f t="shared" si="0"/>
        <v>0</v>
      </c>
      <c r="G19" s="122">
        <v>11300</v>
      </c>
      <c r="H19" s="118">
        <f aca="true" t="shared" si="1" ref="H19:H55">G19*D19</f>
        <v>11300</v>
      </c>
      <c r="I19" s="119"/>
      <c r="J19" s="119"/>
      <c r="K19" s="119"/>
      <c r="L19" s="119"/>
      <c r="M19" s="119"/>
      <c r="N19" s="119"/>
      <c r="O19" s="131" t="s">
        <v>899</v>
      </c>
      <c r="P19" s="131" t="s">
        <v>900</v>
      </c>
      <c r="Q19" s="131" t="s">
        <v>901</v>
      </c>
      <c r="R19" s="131" t="s">
        <v>902</v>
      </c>
      <c r="S19" s="297">
        <v>7</v>
      </c>
      <c r="T19" s="297">
        <v>5</v>
      </c>
      <c r="U19" s="127"/>
      <c r="V19" s="132"/>
      <c r="W19" s="88"/>
    </row>
    <row r="20" spans="1:23" ht="15" customHeight="1">
      <c r="A20" s="88"/>
      <c r="B20" s="155" t="s">
        <v>196</v>
      </c>
      <c r="C20" s="373"/>
      <c r="D20" s="120"/>
      <c r="E20" s="121"/>
      <c r="F20" s="117">
        <f t="shared" si="0"/>
        <v>0</v>
      </c>
      <c r="G20" s="122"/>
      <c r="H20" s="118">
        <f t="shared" si="1"/>
        <v>0</v>
      </c>
      <c r="I20" s="119"/>
      <c r="J20" s="119"/>
      <c r="K20" s="119"/>
      <c r="L20" s="119"/>
      <c r="M20" s="119"/>
      <c r="N20" s="119"/>
      <c r="O20" s="131" t="s">
        <v>899</v>
      </c>
      <c r="P20" s="131" t="s">
        <v>900</v>
      </c>
      <c r="Q20" s="131">
        <v>20</v>
      </c>
      <c r="R20" s="131"/>
      <c r="S20" s="297">
        <v>7</v>
      </c>
      <c r="T20" s="297">
        <v>5</v>
      </c>
      <c r="U20" s="127"/>
      <c r="V20" s="132"/>
      <c r="W20" s="88"/>
    </row>
    <row r="21" spans="1:23" ht="15" customHeight="1">
      <c r="A21" s="88"/>
      <c r="B21" s="155" t="s">
        <v>197</v>
      </c>
      <c r="C21" s="373" t="s">
        <v>915</v>
      </c>
      <c r="D21" s="120"/>
      <c r="E21" s="121"/>
      <c r="F21" s="117">
        <f t="shared" si="0"/>
        <v>0</v>
      </c>
      <c r="G21" s="122"/>
      <c r="H21" s="118">
        <f t="shared" si="1"/>
        <v>0</v>
      </c>
      <c r="I21" s="119"/>
      <c r="J21" s="119"/>
      <c r="K21" s="119"/>
      <c r="L21" s="119"/>
      <c r="M21" s="119"/>
      <c r="N21" s="119"/>
      <c r="O21" s="131" t="s">
        <v>935</v>
      </c>
      <c r="P21" s="131" t="s">
        <v>936</v>
      </c>
      <c r="Q21" s="131">
        <v>20</v>
      </c>
      <c r="R21" s="131"/>
      <c r="S21" s="297">
        <v>1</v>
      </c>
      <c r="T21" s="297">
        <v>5</v>
      </c>
      <c r="U21" s="127"/>
      <c r="V21" s="132"/>
      <c r="W21" s="88"/>
    </row>
    <row r="22" spans="1:23" ht="15" customHeight="1">
      <c r="A22" s="88"/>
      <c r="B22" s="155" t="s">
        <v>198</v>
      </c>
      <c r="C22" s="373" t="s">
        <v>916</v>
      </c>
      <c r="D22" s="120"/>
      <c r="E22" s="121"/>
      <c r="F22" s="117">
        <f t="shared" si="0"/>
        <v>0</v>
      </c>
      <c r="G22" s="122"/>
      <c r="H22" s="118">
        <f t="shared" si="1"/>
        <v>0</v>
      </c>
      <c r="I22" s="119"/>
      <c r="J22" s="119"/>
      <c r="K22" s="119"/>
      <c r="L22" s="119"/>
      <c r="M22" s="119"/>
      <c r="N22" s="119"/>
      <c r="O22" s="131" t="s">
        <v>917</v>
      </c>
      <c r="P22" s="131" t="s">
        <v>195</v>
      </c>
      <c r="Q22" s="131">
        <v>20</v>
      </c>
      <c r="R22" s="131"/>
      <c r="S22" s="297">
        <v>13</v>
      </c>
      <c r="T22" s="297">
        <v>5</v>
      </c>
      <c r="U22" s="127"/>
      <c r="V22" s="132"/>
      <c r="W22" s="88"/>
    </row>
    <row r="23" spans="1:23" ht="15" customHeight="1">
      <c r="A23" s="88"/>
      <c r="B23" s="155" t="s">
        <v>58</v>
      </c>
      <c r="C23" s="373"/>
      <c r="D23" s="120"/>
      <c r="E23" s="121"/>
      <c r="F23" s="117">
        <f t="shared" si="0"/>
        <v>0</v>
      </c>
      <c r="G23" s="122"/>
      <c r="H23" s="118">
        <f t="shared" si="1"/>
        <v>0</v>
      </c>
      <c r="I23" s="119"/>
      <c r="J23" s="119"/>
      <c r="K23" s="119"/>
      <c r="L23" s="119"/>
      <c r="M23" s="119"/>
      <c r="N23" s="119"/>
      <c r="O23" s="131"/>
      <c r="P23" s="131" t="s">
        <v>195</v>
      </c>
      <c r="Q23" s="131">
        <v>20</v>
      </c>
      <c r="R23" s="131"/>
      <c r="S23" s="297">
        <v>13</v>
      </c>
      <c r="T23" s="297">
        <v>5</v>
      </c>
      <c r="U23" s="127"/>
      <c r="V23" s="132"/>
      <c r="W23" s="88"/>
    </row>
    <row r="24" spans="1:23" ht="15" customHeight="1">
      <c r="A24" s="88"/>
      <c r="B24" s="155" t="s">
        <v>59</v>
      </c>
      <c r="C24" s="374"/>
      <c r="D24" s="120"/>
      <c r="E24" s="121"/>
      <c r="F24" s="133">
        <f t="shared" si="0"/>
        <v>0</v>
      </c>
      <c r="G24" s="134"/>
      <c r="H24" s="135">
        <f t="shared" si="1"/>
        <v>0</v>
      </c>
      <c r="I24" s="136"/>
      <c r="J24" s="136"/>
      <c r="K24" s="136"/>
      <c r="L24" s="136"/>
      <c r="M24" s="136"/>
      <c r="N24" s="136"/>
      <c r="O24" s="131"/>
      <c r="P24" s="131" t="s">
        <v>195</v>
      </c>
      <c r="Q24" s="131">
        <v>20</v>
      </c>
      <c r="R24" s="131"/>
      <c r="S24" s="297">
        <v>13</v>
      </c>
      <c r="T24" s="297">
        <v>5</v>
      </c>
      <c r="U24" s="127"/>
      <c r="V24" s="132"/>
      <c r="W24" s="88"/>
    </row>
    <row r="25" spans="1:23" ht="15" customHeight="1">
      <c r="A25" s="88"/>
      <c r="B25" s="150" t="s">
        <v>199</v>
      </c>
      <c r="C25" s="375"/>
      <c r="D25" s="120"/>
      <c r="E25" s="121"/>
      <c r="F25" s="139">
        <f t="shared" si="0"/>
        <v>0</v>
      </c>
      <c r="G25" s="140"/>
      <c r="H25" s="141">
        <f t="shared" si="1"/>
        <v>0</v>
      </c>
      <c r="I25" s="48"/>
      <c r="J25" s="48"/>
      <c r="K25" s="48"/>
      <c r="L25" s="48"/>
      <c r="M25" s="48"/>
      <c r="N25" s="142"/>
      <c r="O25" s="88"/>
      <c r="P25" s="88"/>
      <c r="Q25" s="88"/>
      <c r="R25" s="88"/>
      <c r="S25" s="112"/>
      <c r="T25" s="88"/>
      <c r="U25" s="88"/>
      <c r="V25" s="88"/>
      <c r="W25" s="88"/>
    </row>
    <row r="26" spans="1:15" ht="15" customHeight="1">
      <c r="A26" s="88"/>
      <c r="B26" s="150" t="s">
        <v>199</v>
      </c>
      <c r="C26" s="375"/>
      <c r="D26" s="120"/>
      <c r="E26" s="121"/>
      <c r="F26" s="139">
        <f t="shared" si="0"/>
        <v>0</v>
      </c>
      <c r="G26" s="140"/>
      <c r="H26" s="141">
        <f t="shared" si="1"/>
        <v>0</v>
      </c>
      <c r="I26" s="48"/>
      <c r="J26" s="48"/>
      <c r="K26" s="48"/>
      <c r="L26" s="48"/>
      <c r="M26" s="48"/>
      <c r="N26" s="142"/>
      <c r="O26" s="88"/>
    </row>
    <row r="27" spans="1:15" ht="15" customHeight="1">
      <c r="A27" s="88"/>
      <c r="B27" s="150" t="s">
        <v>199</v>
      </c>
      <c r="C27" s="375"/>
      <c r="D27" s="120"/>
      <c r="E27" s="121"/>
      <c r="F27" s="139">
        <f t="shared" si="0"/>
        <v>0</v>
      </c>
      <c r="G27" s="140"/>
      <c r="H27" s="141">
        <f t="shared" si="1"/>
        <v>0</v>
      </c>
      <c r="I27" s="48"/>
      <c r="J27" s="48"/>
      <c r="K27" s="48"/>
      <c r="L27" s="48"/>
      <c r="M27" s="48"/>
      <c r="N27" s="142"/>
      <c r="O27" s="88"/>
    </row>
    <row r="28" spans="1:15" ht="15" customHeight="1">
      <c r="A28" s="88"/>
      <c r="B28" s="153" t="s">
        <v>199</v>
      </c>
      <c r="C28" s="375"/>
      <c r="D28" s="120"/>
      <c r="E28" s="121"/>
      <c r="F28" s="139">
        <f t="shared" si="0"/>
        <v>0</v>
      </c>
      <c r="G28" s="140"/>
      <c r="H28" s="141">
        <f t="shared" si="1"/>
        <v>0</v>
      </c>
      <c r="I28" s="48"/>
      <c r="J28" s="48"/>
      <c r="K28" s="48"/>
      <c r="L28" s="48"/>
      <c r="M28" s="48"/>
      <c r="N28" s="142"/>
      <c r="O28" s="88"/>
    </row>
    <row r="29" spans="1:15" ht="6.75" customHeight="1">
      <c r="A29" s="88"/>
      <c r="B29" s="108"/>
      <c r="C29" s="372"/>
      <c r="D29" s="109"/>
      <c r="E29" s="110"/>
      <c r="F29" s="105"/>
      <c r="G29" s="111"/>
      <c r="H29" s="107"/>
      <c r="I29" s="112"/>
      <c r="J29" s="112"/>
      <c r="K29" s="112"/>
      <c r="L29" s="112"/>
      <c r="M29" s="112"/>
      <c r="N29" s="113"/>
      <c r="O29" s="88"/>
    </row>
    <row r="30" spans="1:15" ht="6.75" customHeight="1">
      <c r="A30" s="88"/>
      <c r="B30" s="108"/>
      <c r="C30" s="372"/>
      <c r="D30" s="109"/>
      <c r="E30" s="110"/>
      <c r="F30" s="105"/>
      <c r="G30" s="111"/>
      <c r="H30" s="107"/>
      <c r="I30" s="112"/>
      <c r="J30" s="112"/>
      <c r="K30" s="112"/>
      <c r="L30" s="112"/>
      <c r="M30" s="112"/>
      <c r="N30" s="112"/>
      <c r="O30" s="88"/>
    </row>
    <row r="31" spans="1:15" ht="15" customHeight="1">
      <c r="A31" s="88"/>
      <c r="B31" s="149" t="s">
        <v>200</v>
      </c>
      <c r="C31" s="375"/>
      <c r="D31" s="137"/>
      <c r="E31" s="138"/>
      <c r="F31" s="139">
        <f t="shared" si="0"/>
        <v>0</v>
      </c>
      <c r="G31" s="140"/>
      <c r="H31" s="141">
        <f t="shared" si="1"/>
        <v>0</v>
      </c>
      <c r="I31" s="66"/>
      <c r="J31" s="66"/>
      <c r="K31" s="66"/>
      <c r="L31" s="48"/>
      <c r="M31" s="48"/>
      <c r="N31" s="142"/>
      <c r="O31" s="88"/>
    </row>
    <row r="32" spans="1:15" ht="15" customHeight="1">
      <c r="A32" s="88"/>
      <c r="B32" s="150" t="s">
        <v>201</v>
      </c>
      <c r="C32" s="375"/>
      <c r="D32" s="137"/>
      <c r="E32" s="138"/>
      <c r="F32" s="139">
        <f>D32*E32</f>
        <v>0</v>
      </c>
      <c r="G32" s="140"/>
      <c r="H32" s="141">
        <f>G32*D32</f>
        <v>0</v>
      </c>
      <c r="I32" s="66"/>
      <c r="J32" s="66"/>
      <c r="K32" s="66"/>
      <c r="L32" s="48"/>
      <c r="M32" s="48"/>
      <c r="N32" s="142"/>
      <c r="O32" s="88"/>
    </row>
    <row r="33" spans="1:15" ht="15" customHeight="1">
      <c r="A33" s="88"/>
      <c r="B33" s="150" t="s">
        <v>202</v>
      </c>
      <c r="C33" s="375" t="s">
        <v>904</v>
      </c>
      <c r="D33" s="137">
        <v>1</v>
      </c>
      <c r="E33" s="138"/>
      <c r="F33" s="139">
        <f>D33*E33</f>
        <v>0</v>
      </c>
      <c r="G33" s="140">
        <v>18000</v>
      </c>
      <c r="H33" s="141">
        <f>G33*D33</f>
        <v>18000</v>
      </c>
      <c r="I33" s="66"/>
      <c r="J33" s="66"/>
      <c r="K33" s="66"/>
      <c r="L33" s="48"/>
      <c r="M33" s="48"/>
      <c r="N33" s="142"/>
      <c r="O33" s="88"/>
    </row>
    <row r="34" spans="1:15" ht="15" customHeight="1">
      <c r="A34" s="88"/>
      <c r="B34" s="150" t="s">
        <v>203</v>
      </c>
      <c r="C34" s="375" t="s">
        <v>929</v>
      </c>
      <c r="D34" s="137">
        <v>1</v>
      </c>
      <c r="E34" s="138"/>
      <c r="F34" s="139">
        <f t="shared" si="0"/>
        <v>0</v>
      </c>
      <c r="G34" s="140">
        <v>9000</v>
      </c>
      <c r="H34" s="141">
        <f t="shared" si="1"/>
        <v>9000</v>
      </c>
      <c r="I34" s="66"/>
      <c r="J34" s="66"/>
      <c r="K34" s="66"/>
      <c r="L34" s="48"/>
      <c r="M34" s="48"/>
      <c r="N34" s="142"/>
      <c r="O34" s="88"/>
    </row>
    <row r="35" spans="1:15" ht="15" customHeight="1">
      <c r="A35" s="88"/>
      <c r="B35" s="150" t="s">
        <v>204</v>
      </c>
      <c r="C35" s="375"/>
      <c r="D35" s="137"/>
      <c r="E35" s="138"/>
      <c r="F35" s="139">
        <f t="shared" si="0"/>
        <v>0</v>
      </c>
      <c r="G35" s="140"/>
      <c r="H35" s="141">
        <f t="shared" si="1"/>
        <v>0</v>
      </c>
      <c r="I35" s="66"/>
      <c r="J35" s="66"/>
      <c r="K35" s="66"/>
      <c r="L35" s="48"/>
      <c r="M35" s="48"/>
      <c r="N35" s="142"/>
      <c r="O35" s="88"/>
    </row>
    <row r="36" spans="1:15" ht="15" customHeight="1">
      <c r="A36" s="88"/>
      <c r="B36" s="150" t="s">
        <v>205</v>
      </c>
      <c r="C36" s="375" t="s">
        <v>930</v>
      </c>
      <c r="D36" s="137">
        <v>1</v>
      </c>
      <c r="E36" s="138"/>
      <c r="F36" s="139">
        <f t="shared" si="0"/>
        <v>0</v>
      </c>
      <c r="G36" s="140">
        <v>16000</v>
      </c>
      <c r="H36" s="141">
        <f t="shared" si="1"/>
        <v>16000</v>
      </c>
      <c r="I36" s="66"/>
      <c r="J36" s="66"/>
      <c r="K36" s="66"/>
      <c r="L36" s="48"/>
      <c r="M36" s="48"/>
      <c r="N36" s="142"/>
      <c r="O36" s="88"/>
    </row>
    <row r="37" spans="1:15" ht="15" customHeight="1">
      <c r="A37" s="88"/>
      <c r="B37" s="151" t="s">
        <v>206</v>
      </c>
      <c r="C37" s="375"/>
      <c r="D37" s="137"/>
      <c r="E37" s="138"/>
      <c r="F37" s="139">
        <f t="shared" si="0"/>
        <v>0</v>
      </c>
      <c r="G37" s="140"/>
      <c r="H37" s="141">
        <f t="shared" si="1"/>
        <v>0</v>
      </c>
      <c r="I37" s="66"/>
      <c r="J37" s="66"/>
      <c r="K37" s="66"/>
      <c r="L37" s="48"/>
      <c r="M37" s="48"/>
      <c r="N37" s="142"/>
      <c r="O37" s="88"/>
    </row>
    <row r="38" spans="1:15" ht="15" customHeight="1">
      <c r="A38" s="88"/>
      <c r="B38" s="150" t="s">
        <v>207</v>
      </c>
      <c r="C38" s="375"/>
      <c r="D38" s="137"/>
      <c r="E38" s="138"/>
      <c r="F38" s="139">
        <f t="shared" si="0"/>
        <v>0</v>
      </c>
      <c r="G38" s="140"/>
      <c r="H38" s="141">
        <f t="shared" si="1"/>
        <v>0</v>
      </c>
      <c r="I38" s="66"/>
      <c r="J38" s="66"/>
      <c r="K38" s="66"/>
      <c r="L38" s="48"/>
      <c r="M38" s="48"/>
      <c r="N38" s="142"/>
      <c r="O38" s="88"/>
    </row>
    <row r="39" spans="1:15" ht="15" customHeight="1">
      <c r="A39" s="88"/>
      <c r="B39" s="150" t="s">
        <v>208</v>
      </c>
      <c r="C39" s="375"/>
      <c r="D39" s="137"/>
      <c r="E39" s="138"/>
      <c r="F39" s="139">
        <f t="shared" si="0"/>
        <v>0</v>
      </c>
      <c r="G39" s="140"/>
      <c r="H39" s="141">
        <f t="shared" si="1"/>
        <v>0</v>
      </c>
      <c r="I39" s="66"/>
      <c r="J39" s="66"/>
      <c r="K39" s="66"/>
      <c r="L39" s="48"/>
      <c r="M39" s="48"/>
      <c r="N39" s="142"/>
      <c r="O39" s="88"/>
    </row>
    <row r="40" spans="1:15" ht="15" customHeight="1">
      <c r="A40" s="88"/>
      <c r="B40" s="150" t="s">
        <v>209</v>
      </c>
      <c r="C40" s="375"/>
      <c r="D40" s="137"/>
      <c r="E40" s="138"/>
      <c r="F40" s="139">
        <f t="shared" si="0"/>
        <v>0</v>
      </c>
      <c r="G40" s="140"/>
      <c r="H40" s="141">
        <f t="shared" si="1"/>
        <v>0</v>
      </c>
      <c r="I40" s="66"/>
      <c r="J40" s="66"/>
      <c r="K40" s="66"/>
      <c r="L40" s="48"/>
      <c r="M40" s="48"/>
      <c r="N40" s="142"/>
      <c r="O40" s="88"/>
    </row>
    <row r="41" spans="1:15" ht="15" customHeight="1">
      <c r="A41" s="88"/>
      <c r="B41" s="150" t="s">
        <v>210</v>
      </c>
      <c r="C41" s="375" t="s">
        <v>907</v>
      </c>
      <c r="D41" s="137">
        <v>1</v>
      </c>
      <c r="E41" s="138"/>
      <c r="F41" s="139">
        <f t="shared" si="0"/>
        <v>0</v>
      </c>
      <c r="G41" s="140">
        <v>12000</v>
      </c>
      <c r="H41" s="141">
        <f t="shared" si="1"/>
        <v>12000</v>
      </c>
      <c r="I41" s="66"/>
      <c r="J41" s="66"/>
      <c r="K41" s="66"/>
      <c r="L41" s="48"/>
      <c r="M41" s="48"/>
      <c r="N41" s="142"/>
      <c r="O41" s="88"/>
    </row>
    <row r="42" spans="1:15" ht="15" customHeight="1">
      <c r="A42" s="88"/>
      <c r="B42" s="150" t="s">
        <v>887</v>
      </c>
      <c r="C42" s="375"/>
      <c r="D42" s="137"/>
      <c r="E42" s="138"/>
      <c r="F42" s="139">
        <f t="shared" si="0"/>
        <v>0</v>
      </c>
      <c r="G42" s="140"/>
      <c r="H42" s="141">
        <f t="shared" si="1"/>
        <v>0</v>
      </c>
      <c r="I42" s="66"/>
      <c r="J42" s="66"/>
      <c r="K42" s="66"/>
      <c r="L42" s="48"/>
      <c r="M42" s="48"/>
      <c r="N42" s="142"/>
      <c r="O42" s="88"/>
    </row>
    <row r="43" spans="1:15" ht="15" customHeight="1">
      <c r="A43" s="88"/>
      <c r="B43" s="152" t="s">
        <v>893</v>
      </c>
      <c r="C43" s="376" t="s">
        <v>903</v>
      </c>
      <c r="D43" s="298">
        <v>1</v>
      </c>
      <c r="E43" s="299"/>
      <c r="F43" s="300">
        <f t="shared" si="0"/>
        <v>0</v>
      </c>
      <c r="G43" s="301">
        <v>8000</v>
      </c>
      <c r="H43" s="302">
        <f t="shared" si="1"/>
        <v>8000</v>
      </c>
      <c r="I43" s="303"/>
      <c r="J43" s="303"/>
      <c r="K43" s="303"/>
      <c r="L43" s="304"/>
      <c r="M43" s="304"/>
      <c r="N43" s="305"/>
      <c r="O43" s="88"/>
    </row>
    <row r="44" spans="1:15" ht="15" customHeight="1">
      <c r="A44" s="88"/>
      <c r="B44" s="152" t="s">
        <v>894</v>
      </c>
      <c r="C44" s="375" t="s">
        <v>932</v>
      </c>
      <c r="D44" s="137">
        <v>1</v>
      </c>
      <c r="E44" s="138"/>
      <c r="F44" s="139">
        <f t="shared" si="0"/>
        <v>0</v>
      </c>
      <c r="G44" s="140">
        <v>300</v>
      </c>
      <c r="H44" s="141">
        <f t="shared" si="1"/>
        <v>300</v>
      </c>
      <c r="I44" s="66"/>
      <c r="J44" s="66"/>
      <c r="K44" s="66"/>
      <c r="L44" s="48"/>
      <c r="M44" s="48"/>
      <c r="N44" s="142"/>
      <c r="O44" s="88"/>
    </row>
    <row r="45" spans="1:15" ht="15" customHeight="1">
      <c r="A45" s="88"/>
      <c r="B45" s="152" t="s">
        <v>894</v>
      </c>
      <c r="C45" s="375" t="s">
        <v>933</v>
      </c>
      <c r="D45" s="137">
        <v>1</v>
      </c>
      <c r="E45" s="138"/>
      <c r="F45" s="139">
        <f t="shared" si="0"/>
        <v>0</v>
      </c>
      <c r="G45" s="140">
        <v>300</v>
      </c>
      <c r="H45" s="141">
        <f t="shared" si="1"/>
        <v>300</v>
      </c>
      <c r="I45" s="66"/>
      <c r="J45" s="66"/>
      <c r="K45" s="66"/>
      <c r="L45" s="48"/>
      <c r="M45" s="48"/>
      <c r="N45" s="142"/>
      <c r="O45" s="88"/>
    </row>
    <row r="46" spans="1:15" ht="15" customHeight="1">
      <c r="A46" s="88"/>
      <c r="B46" s="152" t="s">
        <v>894</v>
      </c>
      <c r="C46" s="375"/>
      <c r="D46" s="137"/>
      <c r="E46" s="138"/>
      <c r="F46" s="139">
        <f t="shared" si="0"/>
        <v>0</v>
      </c>
      <c r="G46" s="140"/>
      <c r="H46" s="141">
        <f t="shared" si="1"/>
        <v>0</v>
      </c>
      <c r="I46" s="66"/>
      <c r="J46" s="66"/>
      <c r="K46" s="66"/>
      <c r="L46" s="48"/>
      <c r="M46" s="48"/>
      <c r="N46" s="142"/>
      <c r="O46" s="88"/>
    </row>
    <row r="47" spans="1:15" ht="15" customHeight="1">
      <c r="A47" s="88"/>
      <c r="B47" s="152" t="s">
        <v>894</v>
      </c>
      <c r="C47" s="375"/>
      <c r="D47" s="137"/>
      <c r="E47" s="138"/>
      <c r="F47" s="139">
        <f t="shared" si="0"/>
        <v>0</v>
      </c>
      <c r="G47" s="140"/>
      <c r="H47" s="141">
        <f t="shared" si="1"/>
        <v>0</v>
      </c>
      <c r="I47" s="66"/>
      <c r="J47" s="66"/>
      <c r="K47" s="66"/>
      <c r="L47" s="48"/>
      <c r="M47" s="48"/>
      <c r="N47" s="142"/>
      <c r="O47" s="88"/>
    </row>
    <row r="48" spans="1:15" ht="15" customHeight="1">
      <c r="A48" s="88"/>
      <c r="B48" s="152" t="s">
        <v>894</v>
      </c>
      <c r="C48" s="375"/>
      <c r="D48" s="137"/>
      <c r="E48" s="138"/>
      <c r="F48" s="139">
        <f t="shared" si="0"/>
        <v>0</v>
      </c>
      <c r="G48" s="140"/>
      <c r="H48" s="141">
        <f t="shared" si="1"/>
        <v>0</v>
      </c>
      <c r="I48" s="66"/>
      <c r="J48" s="66"/>
      <c r="K48" s="66"/>
      <c r="L48" s="48"/>
      <c r="M48" s="48"/>
      <c r="N48" s="142"/>
      <c r="O48" s="88"/>
    </row>
    <row r="49" spans="1:15" ht="15" customHeight="1">
      <c r="A49" s="88"/>
      <c r="B49" s="152" t="s">
        <v>894</v>
      </c>
      <c r="C49" s="375"/>
      <c r="D49" s="137"/>
      <c r="E49" s="138"/>
      <c r="F49" s="139">
        <f t="shared" si="0"/>
        <v>0</v>
      </c>
      <c r="G49" s="140"/>
      <c r="H49" s="141">
        <f t="shared" si="1"/>
        <v>0</v>
      </c>
      <c r="I49" s="66"/>
      <c r="J49" s="66"/>
      <c r="K49" s="66"/>
      <c r="L49" s="48"/>
      <c r="M49" s="48"/>
      <c r="N49" s="142"/>
      <c r="O49" s="88"/>
    </row>
    <row r="50" spans="1:15" ht="15" customHeight="1">
      <c r="A50" s="88"/>
      <c r="B50" s="152" t="s">
        <v>894</v>
      </c>
      <c r="C50" s="375"/>
      <c r="D50" s="137"/>
      <c r="E50" s="138"/>
      <c r="F50" s="139">
        <f t="shared" si="0"/>
        <v>0</v>
      </c>
      <c r="G50" s="140"/>
      <c r="H50" s="141">
        <f t="shared" si="1"/>
        <v>0</v>
      </c>
      <c r="I50" s="66"/>
      <c r="J50" s="66"/>
      <c r="K50" s="66"/>
      <c r="L50" s="48"/>
      <c r="M50" s="48"/>
      <c r="N50" s="142"/>
      <c r="O50" s="88"/>
    </row>
    <row r="51" spans="1:15" ht="15" customHeight="1">
      <c r="A51" s="88"/>
      <c r="B51" s="152" t="s">
        <v>894</v>
      </c>
      <c r="C51" s="375"/>
      <c r="D51" s="137"/>
      <c r="E51" s="138"/>
      <c r="F51" s="139">
        <f t="shared" si="0"/>
        <v>0</v>
      </c>
      <c r="G51" s="140"/>
      <c r="H51" s="141">
        <f t="shared" si="1"/>
        <v>0</v>
      </c>
      <c r="I51" s="66"/>
      <c r="J51" s="66"/>
      <c r="K51" s="66"/>
      <c r="L51" s="48"/>
      <c r="M51" s="48"/>
      <c r="N51" s="142"/>
      <c r="O51" s="88"/>
    </row>
    <row r="52" spans="1:15" ht="15" customHeight="1">
      <c r="A52" s="88"/>
      <c r="B52" s="150" t="s">
        <v>895</v>
      </c>
      <c r="C52" s="376"/>
      <c r="D52" s="298"/>
      <c r="E52" s="299"/>
      <c r="F52" s="300">
        <f t="shared" si="0"/>
        <v>0</v>
      </c>
      <c r="G52" s="301"/>
      <c r="H52" s="302">
        <f t="shared" si="1"/>
        <v>0</v>
      </c>
      <c r="I52" s="303"/>
      <c r="J52" s="303"/>
      <c r="K52" s="304"/>
      <c r="L52" s="304"/>
      <c r="M52" s="304"/>
      <c r="N52" s="305"/>
      <c r="O52" s="88"/>
    </row>
    <row r="53" spans="1:15" ht="15" customHeight="1">
      <c r="A53" s="88"/>
      <c r="B53" s="150" t="s">
        <v>895</v>
      </c>
      <c r="C53" s="375"/>
      <c r="D53" s="137"/>
      <c r="E53" s="138"/>
      <c r="F53" s="139">
        <f t="shared" si="0"/>
        <v>0</v>
      </c>
      <c r="G53" s="140"/>
      <c r="H53" s="141">
        <f t="shared" si="1"/>
        <v>0</v>
      </c>
      <c r="I53" s="66"/>
      <c r="J53" s="66"/>
      <c r="K53" s="48"/>
      <c r="L53" s="48"/>
      <c r="M53" s="48"/>
      <c r="N53" s="142"/>
      <c r="O53" s="88"/>
    </row>
    <row r="54" spans="1:15" ht="15" customHeight="1">
      <c r="A54" s="88"/>
      <c r="B54" s="150" t="s">
        <v>895</v>
      </c>
      <c r="C54" s="375"/>
      <c r="D54" s="137"/>
      <c r="E54" s="138"/>
      <c r="F54" s="139">
        <f t="shared" si="0"/>
        <v>0</v>
      </c>
      <c r="G54" s="140"/>
      <c r="H54" s="141">
        <f t="shared" si="1"/>
        <v>0</v>
      </c>
      <c r="I54" s="66"/>
      <c r="J54" s="66"/>
      <c r="K54" s="48"/>
      <c r="L54" s="48"/>
      <c r="M54" s="48"/>
      <c r="N54" s="142"/>
      <c r="O54" s="88"/>
    </row>
    <row r="55" spans="1:15" ht="15" customHeight="1">
      <c r="A55" s="88"/>
      <c r="B55" s="150" t="s">
        <v>895</v>
      </c>
      <c r="C55" s="375"/>
      <c r="D55" s="137"/>
      <c r="E55" s="138"/>
      <c r="F55" s="139">
        <f t="shared" si="0"/>
        <v>0</v>
      </c>
      <c r="G55" s="140"/>
      <c r="H55" s="141">
        <f t="shared" si="1"/>
        <v>0</v>
      </c>
      <c r="I55" s="66"/>
      <c r="J55" s="66"/>
      <c r="K55" s="48"/>
      <c r="L55" s="48"/>
      <c r="M55" s="48"/>
      <c r="N55" s="142"/>
      <c r="O55" s="88"/>
    </row>
    <row r="56" spans="1:15" ht="15" customHeight="1">
      <c r="A56" s="88"/>
      <c r="B56" s="153" t="s">
        <v>895</v>
      </c>
      <c r="C56" s="375"/>
      <c r="D56" s="137"/>
      <c r="E56" s="138"/>
      <c r="F56" s="139">
        <f t="shared" si="0"/>
        <v>0</v>
      </c>
      <c r="G56" s="140"/>
      <c r="H56" s="141">
        <f>G56*D56</f>
        <v>0</v>
      </c>
      <c r="I56" s="66"/>
      <c r="J56" s="66"/>
      <c r="K56" s="48"/>
      <c r="L56" s="48"/>
      <c r="M56" s="48"/>
      <c r="N56" s="142"/>
      <c r="O56" s="88"/>
    </row>
    <row r="57" spans="1:15" ht="6.75" customHeight="1">
      <c r="A57" s="88"/>
      <c r="B57" s="108"/>
      <c r="C57" s="372"/>
      <c r="D57" s="109"/>
      <c r="E57" s="110"/>
      <c r="F57" s="105"/>
      <c r="G57" s="111"/>
      <c r="H57" s="107"/>
      <c r="I57" s="112"/>
      <c r="J57" s="112"/>
      <c r="K57" s="112"/>
      <c r="L57" s="112"/>
      <c r="M57" s="112"/>
      <c r="N57" s="113"/>
      <c r="O57" s="88"/>
    </row>
    <row r="58" spans="1:15" ht="6.75" customHeight="1">
      <c r="A58" s="88"/>
      <c r="B58" s="108"/>
      <c r="C58" s="372"/>
      <c r="D58" s="109"/>
      <c r="E58" s="110"/>
      <c r="F58" s="105"/>
      <c r="G58" s="111"/>
      <c r="H58" s="107"/>
      <c r="I58" s="112"/>
      <c r="J58" s="112"/>
      <c r="K58" s="112"/>
      <c r="L58" s="112"/>
      <c r="M58" s="112"/>
      <c r="N58" s="112"/>
      <c r="O58" s="88"/>
    </row>
    <row r="59" spans="1:15" ht="13.5">
      <c r="A59" s="88">
        <v>1</v>
      </c>
      <c r="B59" s="154" t="s">
        <v>211</v>
      </c>
      <c r="C59" s="373" t="s">
        <v>941</v>
      </c>
      <c r="D59" s="120">
        <v>1</v>
      </c>
      <c r="E59" s="121"/>
      <c r="F59" s="117">
        <f>D59*E59</f>
        <v>0</v>
      </c>
      <c r="G59" s="122">
        <v>50</v>
      </c>
      <c r="H59" s="118">
        <f>G59*D59</f>
        <v>50</v>
      </c>
      <c r="I59" s="124"/>
      <c r="J59" s="124"/>
      <c r="K59" s="119"/>
      <c r="L59" s="119"/>
      <c r="M59" s="119"/>
      <c r="N59" s="148"/>
      <c r="O59" s="88"/>
    </row>
    <row r="60" spans="1:15" ht="13.5">
      <c r="A60" s="88">
        <v>2</v>
      </c>
      <c r="B60" s="155" t="s">
        <v>212</v>
      </c>
      <c r="C60" s="373"/>
      <c r="D60" s="120"/>
      <c r="E60" s="121"/>
      <c r="F60" s="117">
        <f t="shared" si="0"/>
        <v>0</v>
      </c>
      <c r="G60" s="122"/>
      <c r="H60" s="118">
        <f>G60*D60</f>
        <v>0</v>
      </c>
      <c r="I60" s="124"/>
      <c r="J60" s="124"/>
      <c r="K60" s="119"/>
      <c r="L60" s="119"/>
      <c r="M60" s="119"/>
      <c r="N60" s="148"/>
      <c r="O60" s="88"/>
    </row>
    <row r="61" spans="1:15" ht="13.5">
      <c r="A61" s="88">
        <v>3</v>
      </c>
      <c r="B61" s="155" t="s">
        <v>212</v>
      </c>
      <c r="C61" s="373" t="s">
        <v>905</v>
      </c>
      <c r="D61" s="120"/>
      <c r="E61" s="121"/>
      <c r="F61" s="117">
        <f t="shared" si="0"/>
        <v>0</v>
      </c>
      <c r="G61" s="122"/>
      <c r="H61" s="118">
        <f aca="true" t="shared" si="2" ref="H61:H68">G61*D61</f>
        <v>0</v>
      </c>
      <c r="I61" s="124"/>
      <c r="J61" s="124"/>
      <c r="K61" s="119"/>
      <c r="L61" s="119"/>
      <c r="M61" s="119"/>
      <c r="N61" s="148"/>
      <c r="O61" s="88"/>
    </row>
    <row r="62" spans="1:15" ht="13.5">
      <c r="A62" s="88">
        <v>4</v>
      </c>
      <c r="B62" s="155" t="s">
        <v>212</v>
      </c>
      <c r="C62" s="373" t="s">
        <v>906</v>
      </c>
      <c r="D62" s="120">
        <v>2</v>
      </c>
      <c r="E62" s="121"/>
      <c r="F62" s="117">
        <f t="shared" si="0"/>
        <v>0</v>
      </c>
      <c r="G62" s="122">
        <v>700</v>
      </c>
      <c r="H62" s="118">
        <f t="shared" si="2"/>
        <v>1400</v>
      </c>
      <c r="I62" s="124"/>
      <c r="J62" s="124"/>
      <c r="K62" s="119"/>
      <c r="L62" s="119"/>
      <c r="M62" s="119"/>
      <c r="N62" s="148"/>
      <c r="O62" s="88"/>
    </row>
    <row r="63" spans="1:15" ht="13.5">
      <c r="A63" s="88">
        <v>5</v>
      </c>
      <c r="B63" s="155" t="s">
        <v>212</v>
      </c>
      <c r="C63" s="373" t="s">
        <v>939</v>
      </c>
      <c r="D63" s="120">
        <v>2</v>
      </c>
      <c r="E63" s="121"/>
      <c r="F63" s="117">
        <f t="shared" si="0"/>
        <v>0</v>
      </c>
      <c r="G63" s="122">
        <v>300</v>
      </c>
      <c r="H63" s="118">
        <f t="shared" si="2"/>
        <v>600</v>
      </c>
      <c r="I63" s="124"/>
      <c r="J63" s="124"/>
      <c r="K63" s="119"/>
      <c r="L63" s="119"/>
      <c r="M63" s="119"/>
      <c r="N63" s="148"/>
      <c r="O63" s="88"/>
    </row>
    <row r="64" spans="1:15" ht="13.5">
      <c r="A64" s="88">
        <v>6</v>
      </c>
      <c r="B64" s="155" t="s">
        <v>212</v>
      </c>
      <c r="C64" s="373" t="s">
        <v>940</v>
      </c>
      <c r="D64" s="120">
        <v>2</v>
      </c>
      <c r="E64" s="121"/>
      <c r="F64" s="117">
        <f t="shared" si="0"/>
        <v>0</v>
      </c>
      <c r="G64" s="122">
        <v>50</v>
      </c>
      <c r="H64" s="118">
        <f t="shared" si="2"/>
        <v>100</v>
      </c>
      <c r="I64" s="124"/>
      <c r="J64" s="124"/>
      <c r="K64" s="119"/>
      <c r="L64" s="119"/>
      <c r="M64" s="119"/>
      <c r="N64" s="148"/>
      <c r="O64" s="88"/>
    </row>
    <row r="65" spans="1:15" ht="13.5">
      <c r="A65" s="88">
        <v>7</v>
      </c>
      <c r="B65" s="155" t="s">
        <v>212</v>
      </c>
      <c r="C65" s="373"/>
      <c r="D65" s="120"/>
      <c r="E65" s="121"/>
      <c r="F65" s="117">
        <f t="shared" si="0"/>
        <v>0</v>
      </c>
      <c r="G65" s="122"/>
      <c r="H65" s="118">
        <f t="shared" si="2"/>
        <v>0</v>
      </c>
      <c r="I65" s="124"/>
      <c r="J65" s="124"/>
      <c r="K65" s="119"/>
      <c r="L65" s="119"/>
      <c r="M65" s="119"/>
      <c r="N65" s="148"/>
      <c r="O65" s="88"/>
    </row>
    <row r="66" spans="1:15" ht="13.5">
      <c r="A66" s="88">
        <v>8</v>
      </c>
      <c r="B66" s="155" t="s">
        <v>212</v>
      </c>
      <c r="C66" s="373"/>
      <c r="D66" s="120"/>
      <c r="E66" s="121"/>
      <c r="F66" s="117">
        <f t="shared" si="0"/>
        <v>0</v>
      </c>
      <c r="G66" s="122"/>
      <c r="H66" s="118">
        <f t="shared" si="2"/>
        <v>0</v>
      </c>
      <c r="I66" s="124"/>
      <c r="J66" s="124"/>
      <c r="K66" s="119"/>
      <c r="L66" s="119"/>
      <c r="M66" s="119"/>
      <c r="N66" s="148"/>
      <c r="O66" s="88"/>
    </row>
    <row r="67" spans="1:15" ht="13.5">
      <c r="A67" s="88">
        <v>9</v>
      </c>
      <c r="B67" s="155" t="s">
        <v>212</v>
      </c>
      <c r="C67" s="373"/>
      <c r="D67" s="120"/>
      <c r="E67" s="121"/>
      <c r="F67" s="117">
        <f t="shared" si="0"/>
        <v>0</v>
      </c>
      <c r="G67" s="122"/>
      <c r="H67" s="118">
        <f t="shared" si="2"/>
        <v>0</v>
      </c>
      <c r="I67" s="124"/>
      <c r="J67" s="124"/>
      <c r="K67" s="119"/>
      <c r="L67" s="119"/>
      <c r="M67" s="119"/>
      <c r="N67" s="148"/>
      <c r="O67" s="88"/>
    </row>
    <row r="68" spans="1:15" ht="13.5">
      <c r="A68" s="88">
        <v>10</v>
      </c>
      <c r="B68" s="155" t="s">
        <v>212</v>
      </c>
      <c r="C68" s="373"/>
      <c r="D68" s="120"/>
      <c r="E68" s="121"/>
      <c r="F68" s="117">
        <f t="shared" si="0"/>
        <v>0</v>
      </c>
      <c r="G68" s="122"/>
      <c r="H68" s="118">
        <f t="shared" si="2"/>
        <v>0</v>
      </c>
      <c r="I68" s="124"/>
      <c r="J68" s="124"/>
      <c r="K68" s="119"/>
      <c r="L68" s="119"/>
      <c r="M68" s="119"/>
      <c r="N68" s="148"/>
      <c r="O68" s="88"/>
    </row>
    <row r="69" spans="1:15" ht="13.5">
      <c r="A69" s="88">
        <v>11</v>
      </c>
      <c r="B69" s="155" t="s">
        <v>212</v>
      </c>
      <c r="C69" s="373"/>
      <c r="D69" s="120"/>
      <c r="E69" s="121"/>
      <c r="F69" s="117">
        <f t="shared" si="0"/>
        <v>0</v>
      </c>
      <c r="G69" s="122"/>
      <c r="H69" s="118">
        <f>G69*D69</f>
        <v>0</v>
      </c>
      <c r="I69" s="124"/>
      <c r="J69" s="124"/>
      <c r="K69" s="119"/>
      <c r="L69" s="119"/>
      <c r="M69" s="119"/>
      <c r="N69" s="148"/>
      <c r="O69" s="88"/>
    </row>
    <row r="70" spans="1:15" ht="13.5">
      <c r="A70" s="88">
        <v>12</v>
      </c>
      <c r="B70" s="155" t="s">
        <v>212</v>
      </c>
      <c r="C70" s="373"/>
      <c r="D70" s="120"/>
      <c r="E70" s="121"/>
      <c r="F70" s="117">
        <f t="shared" si="0"/>
        <v>0</v>
      </c>
      <c r="G70" s="122"/>
      <c r="H70" s="118">
        <f>G70*D70</f>
        <v>0</v>
      </c>
      <c r="I70" s="124"/>
      <c r="J70" s="124"/>
      <c r="K70" s="119"/>
      <c r="L70" s="119"/>
      <c r="M70" s="119"/>
      <c r="N70" s="148"/>
      <c r="O70" s="88"/>
    </row>
    <row r="71" spans="1:15" ht="13.5">
      <c r="A71" s="88">
        <v>13</v>
      </c>
      <c r="B71" s="155" t="s">
        <v>212</v>
      </c>
      <c r="C71" s="373"/>
      <c r="D71" s="120"/>
      <c r="E71" s="121"/>
      <c r="F71" s="117">
        <f t="shared" si="0"/>
        <v>0</v>
      </c>
      <c r="G71" s="122"/>
      <c r="H71" s="118">
        <f>G71*D71</f>
        <v>0</v>
      </c>
      <c r="I71" s="124"/>
      <c r="J71" s="124"/>
      <c r="K71" s="119"/>
      <c r="L71" s="119"/>
      <c r="M71" s="119"/>
      <c r="N71" s="148"/>
      <c r="O71" s="88"/>
    </row>
    <row r="72" spans="1:15" ht="13.5">
      <c r="A72" s="88">
        <v>14</v>
      </c>
      <c r="B72" s="155" t="s">
        <v>212</v>
      </c>
      <c r="C72" s="373"/>
      <c r="D72" s="120"/>
      <c r="E72" s="121"/>
      <c r="F72" s="117">
        <f t="shared" si="0"/>
        <v>0</v>
      </c>
      <c r="G72" s="122"/>
      <c r="H72" s="118">
        <f aca="true" t="shared" si="3" ref="H72:H120">G72*D72</f>
        <v>0</v>
      </c>
      <c r="I72" s="124"/>
      <c r="J72" s="124"/>
      <c r="K72" s="119"/>
      <c r="L72" s="119"/>
      <c r="M72" s="119"/>
      <c r="N72" s="148"/>
      <c r="O72" s="88"/>
    </row>
    <row r="73" spans="1:15" ht="13.5">
      <c r="A73" s="88">
        <v>15</v>
      </c>
      <c r="B73" s="155" t="s">
        <v>212</v>
      </c>
      <c r="C73" s="373"/>
      <c r="D73" s="120"/>
      <c r="E73" s="121"/>
      <c r="F73" s="117">
        <f t="shared" si="0"/>
        <v>0</v>
      </c>
      <c r="G73" s="122"/>
      <c r="H73" s="118">
        <f t="shared" si="3"/>
        <v>0</v>
      </c>
      <c r="I73" s="124"/>
      <c r="J73" s="124"/>
      <c r="K73" s="119"/>
      <c r="L73" s="119"/>
      <c r="M73" s="119"/>
      <c r="N73" s="148"/>
      <c r="O73" s="88"/>
    </row>
    <row r="74" spans="1:15" ht="13.5">
      <c r="A74" s="88">
        <v>16</v>
      </c>
      <c r="B74" s="155" t="s">
        <v>212</v>
      </c>
      <c r="C74" s="373"/>
      <c r="D74" s="120"/>
      <c r="E74" s="121"/>
      <c r="F74" s="117">
        <f t="shared" si="0"/>
        <v>0</v>
      </c>
      <c r="G74" s="122"/>
      <c r="H74" s="118">
        <f t="shared" si="3"/>
        <v>0</v>
      </c>
      <c r="I74" s="124"/>
      <c r="J74" s="124"/>
      <c r="K74" s="119"/>
      <c r="L74" s="119"/>
      <c r="M74" s="119"/>
      <c r="N74" s="148"/>
      <c r="O74" s="88"/>
    </row>
    <row r="75" spans="1:15" ht="13.5">
      <c r="A75" s="88">
        <v>17</v>
      </c>
      <c r="B75" s="155" t="s">
        <v>212</v>
      </c>
      <c r="C75" s="373"/>
      <c r="D75" s="120"/>
      <c r="E75" s="121"/>
      <c r="F75" s="117">
        <f t="shared" si="0"/>
        <v>0</v>
      </c>
      <c r="G75" s="122"/>
      <c r="H75" s="118">
        <f t="shared" si="3"/>
        <v>0</v>
      </c>
      <c r="I75" s="124"/>
      <c r="J75" s="124"/>
      <c r="K75" s="119"/>
      <c r="L75" s="119"/>
      <c r="M75" s="119"/>
      <c r="N75" s="148"/>
      <c r="O75" s="88"/>
    </row>
    <row r="76" spans="1:15" ht="13.5">
      <c r="A76" s="88">
        <v>18</v>
      </c>
      <c r="B76" s="155" t="s">
        <v>212</v>
      </c>
      <c r="C76" s="373"/>
      <c r="D76" s="120"/>
      <c r="E76" s="121"/>
      <c r="F76" s="117">
        <f aca="true" t="shared" si="4" ref="F76:F121">D76*E76</f>
        <v>0</v>
      </c>
      <c r="G76" s="122"/>
      <c r="H76" s="118">
        <f t="shared" si="3"/>
        <v>0</v>
      </c>
      <c r="I76" s="124"/>
      <c r="J76" s="124"/>
      <c r="K76" s="119"/>
      <c r="L76" s="119"/>
      <c r="M76" s="119"/>
      <c r="N76" s="148"/>
      <c r="O76" s="88"/>
    </row>
    <row r="77" spans="1:15" ht="13.5">
      <c r="A77" s="88">
        <v>19</v>
      </c>
      <c r="B77" s="155" t="s">
        <v>212</v>
      </c>
      <c r="C77" s="373"/>
      <c r="D77" s="120"/>
      <c r="E77" s="121"/>
      <c r="F77" s="117">
        <f t="shared" si="4"/>
        <v>0</v>
      </c>
      <c r="G77" s="122"/>
      <c r="H77" s="118">
        <f t="shared" si="3"/>
        <v>0</v>
      </c>
      <c r="I77" s="124"/>
      <c r="J77" s="124"/>
      <c r="K77" s="119"/>
      <c r="L77" s="119"/>
      <c r="M77" s="119"/>
      <c r="N77" s="148"/>
      <c r="O77" s="88"/>
    </row>
    <row r="78" spans="1:15" ht="13.5">
      <c r="A78" s="88">
        <v>20</v>
      </c>
      <c r="B78" s="155" t="s">
        <v>212</v>
      </c>
      <c r="C78" s="373"/>
      <c r="D78" s="120"/>
      <c r="E78" s="121"/>
      <c r="F78" s="117">
        <f t="shared" si="4"/>
        <v>0</v>
      </c>
      <c r="G78" s="122"/>
      <c r="H78" s="118">
        <f t="shared" si="3"/>
        <v>0</v>
      </c>
      <c r="I78" s="124"/>
      <c r="J78" s="124"/>
      <c r="K78" s="119"/>
      <c r="L78" s="119"/>
      <c r="M78" s="119"/>
      <c r="N78" s="148"/>
      <c r="O78" s="88"/>
    </row>
    <row r="79" spans="1:15" ht="13.5">
      <c r="A79" s="88">
        <v>21</v>
      </c>
      <c r="B79" s="155" t="s">
        <v>212</v>
      </c>
      <c r="C79" s="373"/>
      <c r="D79" s="120"/>
      <c r="E79" s="121"/>
      <c r="F79" s="117">
        <f t="shared" si="4"/>
        <v>0</v>
      </c>
      <c r="G79" s="122"/>
      <c r="H79" s="118">
        <f t="shared" si="3"/>
        <v>0</v>
      </c>
      <c r="I79" s="124"/>
      <c r="J79" s="124"/>
      <c r="K79" s="119"/>
      <c r="L79" s="119"/>
      <c r="M79" s="119"/>
      <c r="N79" s="148"/>
      <c r="O79" s="88"/>
    </row>
    <row r="80" spans="1:15" ht="13.5">
      <c r="A80" s="88">
        <v>22</v>
      </c>
      <c r="B80" s="155" t="s">
        <v>212</v>
      </c>
      <c r="C80" s="373"/>
      <c r="D80" s="120"/>
      <c r="E80" s="121"/>
      <c r="F80" s="117">
        <f t="shared" si="4"/>
        <v>0</v>
      </c>
      <c r="G80" s="122"/>
      <c r="H80" s="118">
        <f t="shared" si="3"/>
        <v>0</v>
      </c>
      <c r="I80" s="124"/>
      <c r="J80" s="124"/>
      <c r="K80" s="119"/>
      <c r="L80" s="119"/>
      <c r="M80" s="119"/>
      <c r="N80" s="148"/>
      <c r="O80" s="88"/>
    </row>
    <row r="81" spans="1:15" ht="13.5">
      <c r="A81" s="88">
        <v>23</v>
      </c>
      <c r="B81" s="155" t="s">
        <v>212</v>
      </c>
      <c r="C81" s="373"/>
      <c r="D81" s="120"/>
      <c r="E81" s="121"/>
      <c r="F81" s="117">
        <f t="shared" si="4"/>
        <v>0</v>
      </c>
      <c r="G81" s="122"/>
      <c r="H81" s="118">
        <f t="shared" si="3"/>
        <v>0</v>
      </c>
      <c r="I81" s="124"/>
      <c r="J81" s="124"/>
      <c r="K81" s="119"/>
      <c r="L81" s="119"/>
      <c r="M81" s="119"/>
      <c r="N81" s="148"/>
      <c r="O81" s="88"/>
    </row>
    <row r="82" spans="1:15" ht="13.5">
      <c r="A82" s="88">
        <v>24</v>
      </c>
      <c r="B82" s="155" t="s">
        <v>212</v>
      </c>
      <c r="C82" s="373"/>
      <c r="D82" s="120"/>
      <c r="E82" s="121"/>
      <c r="F82" s="117">
        <f t="shared" si="4"/>
        <v>0</v>
      </c>
      <c r="G82" s="122"/>
      <c r="H82" s="118">
        <f t="shared" si="3"/>
        <v>0</v>
      </c>
      <c r="I82" s="124"/>
      <c r="J82" s="124"/>
      <c r="K82" s="119"/>
      <c r="L82" s="119"/>
      <c r="M82" s="119"/>
      <c r="N82" s="148"/>
      <c r="O82" s="88"/>
    </row>
    <row r="83" spans="1:15" ht="13.5">
      <c r="A83" s="88">
        <v>25</v>
      </c>
      <c r="B83" s="155" t="s">
        <v>212</v>
      </c>
      <c r="C83" s="373"/>
      <c r="D83" s="120"/>
      <c r="E83" s="121"/>
      <c r="F83" s="117">
        <f t="shared" si="4"/>
        <v>0</v>
      </c>
      <c r="G83" s="122"/>
      <c r="H83" s="118">
        <f t="shared" si="3"/>
        <v>0</v>
      </c>
      <c r="I83" s="124"/>
      <c r="J83" s="124"/>
      <c r="K83" s="119"/>
      <c r="L83" s="119"/>
      <c r="M83" s="119"/>
      <c r="N83" s="148"/>
      <c r="O83" s="88"/>
    </row>
    <row r="84" spans="1:15" ht="13.5">
      <c r="A84" s="88">
        <v>26</v>
      </c>
      <c r="B84" s="155" t="s">
        <v>212</v>
      </c>
      <c r="C84" s="373"/>
      <c r="D84" s="120"/>
      <c r="E84" s="121"/>
      <c r="F84" s="117">
        <f t="shared" si="4"/>
        <v>0</v>
      </c>
      <c r="G84" s="122"/>
      <c r="H84" s="118">
        <f t="shared" si="3"/>
        <v>0</v>
      </c>
      <c r="I84" s="124"/>
      <c r="J84" s="124"/>
      <c r="K84" s="119"/>
      <c r="L84" s="119"/>
      <c r="M84" s="119"/>
      <c r="N84" s="148"/>
      <c r="O84" s="88"/>
    </row>
    <row r="85" spans="1:15" ht="13.5">
      <c r="A85" s="88">
        <v>27</v>
      </c>
      <c r="B85" s="155" t="s">
        <v>212</v>
      </c>
      <c r="C85" s="373"/>
      <c r="D85" s="120"/>
      <c r="E85" s="121"/>
      <c r="F85" s="117">
        <f t="shared" si="4"/>
        <v>0</v>
      </c>
      <c r="G85" s="122"/>
      <c r="H85" s="118">
        <f t="shared" si="3"/>
        <v>0</v>
      </c>
      <c r="I85" s="124"/>
      <c r="J85" s="124"/>
      <c r="K85" s="119"/>
      <c r="L85" s="119"/>
      <c r="M85" s="119"/>
      <c r="N85" s="148"/>
      <c r="O85" s="88"/>
    </row>
    <row r="86" spans="1:15" ht="13.5">
      <c r="A86" s="88">
        <v>28</v>
      </c>
      <c r="B86" s="155" t="s">
        <v>212</v>
      </c>
      <c r="C86" s="373"/>
      <c r="D86" s="120"/>
      <c r="E86" s="121"/>
      <c r="F86" s="117">
        <f t="shared" si="4"/>
        <v>0</v>
      </c>
      <c r="G86" s="122"/>
      <c r="H86" s="118">
        <f t="shared" si="3"/>
        <v>0</v>
      </c>
      <c r="I86" s="124"/>
      <c r="J86" s="124"/>
      <c r="K86" s="119"/>
      <c r="L86" s="119"/>
      <c r="M86" s="119"/>
      <c r="N86" s="148"/>
      <c r="O86" s="88"/>
    </row>
    <row r="87" spans="1:15" ht="13.5">
      <c r="A87" s="88">
        <v>29</v>
      </c>
      <c r="B87" s="155" t="s">
        <v>212</v>
      </c>
      <c r="C87" s="373"/>
      <c r="D87" s="120"/>
      <c r="E87" s="121"/>
      <c r="F87" s="117">
        <f t="shared" si="4"/>
        <v>0</v>
      </c>
      <c r="G87" s="122"/>
      <c r="H87" s="118">
        <f t="shared" si="3"/>
        <v>0</v>
      </c>
      <c r="I87" s="124"/>
      <c r="J87" s="124"/>
      <c r="K87" s="119"/>
      <c r="L87" s="119"/>
      <c r="M87" s="119"/>
      <c r="N87" s="148"/>
      <c r="O87" s="88"/>
    </row>
    <row r="88" spans="1:15" ht="13.5">
      <c r="A88" s="88">
        <v>30</v>
      </c>
      <c r="B88" s="155" t="s">
        <v>212</v>
      </c>
      <c r="C88" s="373"/>
      <c r="D88" s="120"/>
      <c r="E88" s="121"/>
      <c r="F88" s="117">
        <f t="shared" si="4"/>
        <v>0</v>
      </c>
      <c r="G88" s="122"/>
      <c r="H88" s="118">
        <f t="shared" si="3"/>
        <v>0</v>
      </c>
      <c r="I88" s="124"/>
      <c r="J88" s="124"/>
      <c r="K88" s="119"/>
      <c r="L88" s="119"/>
      <c r="M88" s="119"/>
      <c r="N88" s="148"/>
      <c r="O88" s="88"/>
    </row>
    <row r="89" spans="1:15" ht="13.5">
      <c r="A89" s="88">
        <v>31</v>
      </c>
      <c r="B89" s="155" t="s">
        <v>212</v>
      </c>
      <c r="C89" s="373"/>
      <c r="D89" s="120"/>
      <c r="E89" s="121"/>
      <c r="F89" s="117">
        <f t="shared" si="4"/>
        <v>0</v>
      </c>
      <c r="G89" s="122"/>
      <c r="H89" s="118">
        <f t="shared" si="3"/>
        <v>0</v>
      </c>
      <c r="I89" s="124"/>
      <c r="J89" s="124"/>
      <c r="K89" s="119"/>
      <c r="L89" s="119"/>
      <c r="M89" s="119"/>
      <c r="N89" s="148"/>
      <c r="O89" s="88"/>
    </row>
    <row r="90" spans="1:15" ht="13.5">
      <c r="A90" s="88">
        <v>32</v>
      </c>
      <c r="B90" s="155" t="s">
        <v>212</v>
      </c>
      <c r="C90" s="373"/>
      <c r="D90" s="120"/>
      <c r="E90" s="121"/>
      <c r="F90" s="117">
        <f t="shared" si="4"/>
        <v>0</v>
      </c>
      <c r="G90" s="122"/>
      <c r="H90" s="118">
        <f t="shared" si="3"/>
        <v>0</v>
      </c>
      <c r="I90" s="124"/>
      <c r="J90" s="124"/>
      <c r="K90" s="119"/>
      <c r="L90" s="119"/>
      <c r="M90" s="119"/>
      <c r="N90" s="148"/>
      <c r="O90" s="88"/>
    </row>
    <row r="91" spans="1:15" ht="13.5">
      <c r="A91" s="88">
        <v>33</v>
      </c>
      <c r="B91" s="155" t="s">
        <v>212</v>
      </c>
      <c r="C91" s="373"/>
      <c r="D91" s="120"/>
      <c r="E91" s="121"/>
      <c r="F91" s="117">
        <f t="shared" si="4"/>
        <v>0</v>
      </c>
      <c r="G91" s="122"/>
      <c r="H91" s="118">
        <f t="shared" si="3"/>
        <v>0</v>
      </c>
      <c r="I91" s="124"/>
      <c r="J91" s="124"/>
      <c r="K91" s="119"/>
      <c r="L91" s="119"/>
      <c r="M91" s="119"/>
      <c r="N91" s="148"/>
      <c r="O91" s="88"/>
    </row>
    <row r="92" spans="1:15" ht="13.5">
      <c r="A92" s="88">
        <v>34</v>
      </c>
      <c r="B92" s="155" t="s">
        <v>212</v>
      </c>
      <c r="C92" s="373"/>
      <c r="D92" s="120"/>
      <c r="E92" s="121"/>
      <c r="F92" s="117">
        <f t="shared" si="4"/>
        <v>0</v>
      </c>
      <c r="G92" s="122"/>
      <c r="H92" s="118">
        <f t="shared" si="3"/>
        <v>0</v>
      </c>
      <c r="I92" s="124"/>
      <c r="J92" s="124"/>
      <c r="K92" s="119"/>
      <c r="L92" s="119"/>
      <c r="M92" s="119"/>
      <c r="N92" s="148"/>
      <c r="O92" s="88"/>
    </row>
    <row r="93" spans="1:15" ht="13.5">
      <c r="A93" s="88">
        <v>35</v>
      </c>
      <c r="B93" s="155" t="s">
        <v>212</v>
      </c>
      <c r="C93" s="373"/>
      <c r="D93" s="120"/>
      <c r="E93" s="121"/>
      <c r="F93" s="117">
        <f t="shared" si="4"/>
        <v>0</v>
      </c>
      <c r="G93" s="122"/>
      <c r="H93" s="118">
        <f t="shared" si="3"/>
        <v>0</v>
      </c>
      <c r="I93" s="124"/>
      <c r="J93" s="124"/>
      <c r="K93" s="119"/>
      <c r="L93" s="119"/>
      <c r="M93" s="119"/>
      <c r="N93" s="148"/>
      <c r="O93" s="88"/>
    </row>
    <row r="94" spans="1:15" ht="13.5">
      <c r="A94" s="88">
        <v>36</v>
      </c>
      <c r="B94" s="155" t="s">
        <v>212</v>
      </c>
      <c r="C94" s="373"/>
      <c r="D94" s="120"/>
      <c r="E94" s="121"/>
      <c r="F94" s="117">
        <f t="shared" si="4"/>
        <v>0</v>
      </c>
      <c r="G94" s="122"/>
      <c r="H94" s="118">
        <f t="shared" si="3"/>
        <v>0</v>
      </c>
      <c r="I94" s="124"/>
      <c r="J94" s="124"/>
      <c r="K94" s="119"/>
      <c r="L94" s="119"/>
      <c r="M94" s="119"/>
      <c r="N94" s="148"/>
      <c r="O94" s="88"/>
    </row>
    <row r="95" spans="1:15" ht="13.5">
      <c r="A95" s="88">
        <v>37</v>
      </c>
      <c r="B95" s="155" t="s">
        <v>212</v>
      </c>
      <c r="C95" s="373"/>
      <c r="D95" s="120"/>
      <c r="E95" s="121"/>
      <c r="F95" s="117">
        <f t="shared" si="4"/>
        <v>0</v>
      </c>
      <c r="G95" s="122"/>
      <c r="H95" s="118">
        <f t="shared" si="3"/>
        <v>0</v>
      </c>
      <c r="I95" s="124"/>
      <c r="J95" s="124"/>
      <c r="K95" s="119"/>
      <c r="L95" s="119"/>
      <c r="M95" s="119"/>
      <c r="N95" s="148"/>
      <c r="O95" s="88"/>
    </row>
    <row r="96" spans="1:15" ht="13.5">
      <c r="A96" s="88">
        <v>38</v>
      </c>
      <c r="B96" s="155" t="s">
        <v>212</v>
      </c>
      <c r="C96" s="373"/>
      <c r="D96" s="120"/>
      <c r="E96" s="121"/>
      <c r="F96" s="117">
        <f t="shared" si="4"/>
        <v>0</v>
      </c>
      <c r="G96" s="122"/>
      <c r="H96" s="118">
        <f t="shared" si="3"/>
        <v>0</v>
      </c>
      <c r="I96" s="124"/>
      <c r="J96" s="124"/>
      <c r="K96" s="119"/>
      <c r="L96" s="119"/>
      <c r="M96" s="119"/>
      <c r="N96" s="148"/>
      <c r="O96" s="88"/>
    </row>
    <row r="97" spans="1:15" ht="13.5">
      <c r="A97" s="88">
        <v>39</v>
      </c>
      <c r="B97" s="155" t="s">
        <v>212</v>
      </c>
      <c r="C97" s="373"/>
      <c r="D97" s="120"/>
      <c r="E97" s="121"/>
      <c r="F97" s="117">
        <f t="shared" si="4"/>
        <v>0</v>
      </c>
      <c r="G97" s="122"/>
      <c r="H97" s="118">
        <f t="shared" si="3"/>
        <v>0</v>
      </c>
      <c r="I97" s="124"/>
      <c r="J97" s="124"/>
      <c r="K97" s="119"/>
      <c r="L97" s="119"/>
      <c r="M97" s="119"/>
      <c r="N97" s="148"/>
      <c r="O97" s="88"/>
    </row>
    <row r="98" spans="1:15" ht="13.5">
      <c r="A98" s="88">
        <v>40</v>
      </c>
      <c r="B98" s="155" t="s">
        <v>212</v>
      </c>
      <c r="C98" s="373"/>
      <c r="D98" s="120"/>
      <c r="E98" s="121"/>
      <c r="F98" s="117">
        <f t="shared" si="4"/>
        <v>0</v>
      </c>
      <c r="G98" s="122"/>
      <c r="H98" s="118">
        <f t="shared" si="3"/>
        <v>0</v>
      </c>
      <c r="I98" s="124"/>
      <c r="J98" s="124"/>
      <c r="K98" s="119"/>
      <c r="L98" s="119"/>
      <c r="M98" s="119"/>
      <c r="N98" s="148"/>
      <c r="O98" s="88"/>
    </row>
    <row r="99" spans="1:15" ht="13.5">
      <c r="A99" s="88">
        <v>41</v>
      </c>
      <c r="B99" s="155" t="s">
        <v>212</v>
      </c>
      <c r="C99" s="373"/>
      <c r="D99" s="120"/>
      <c r="E99" s="121"/>
      <c r="F99" s="117">
        <f t="shared" si="4"/>
        <v>0</v>
      </c>
      <c r="G99" s="122"/>
      <c r="H99" s="118">
        <f t="shared" si="3"/>
        <v>0</v>
      </c>
      <c r="I99" s="124"/>
      <c r="J99" s="124"/>
      <c r="K99" s="119"/>
      <c r="L99" s="119"/>
      <c r="M99" s="119"/>
      <c r="N99" s="148"/>
      <c r="O99" s="88"/>
    </row>
    <row r="100" spans="1:15" ht="13.5">
      <c r="A100" s="88">
        <v>42</v>
      </c>
      <c r="B100" s="155" t="s">
        <v>212</v>
      </c>
      <c r="C100" s="373"/>
      <c r="D100" s="120"/>
      <c r="E100" s="121"/>
      <c r="F100" s="117">
        <f t="shared" si="4"/>
        <v>0</v>
      </c>
      <c r="G100" s="122"/>
      <c r="H100" s="118">
        <f t="shared" si="3"/>
        <v>0</v>
      </c>
      <c r="I100" s="124"/>
      <c r="J100" s="124"/>
      <c r="K100" s="119"/>
      <c r="L100" s="119"/>
      <c r="M100" s="119"/>
      <c r="N100" s="148"/>
      <c r="O100" s="88"/>
    </row>
    <row r="101" spans="1:15" ht="13.5">
      <c r="A101" s="88">
        <v>43</v>
      </c>
      <c r="B101" s="155" t="s">
        <v>212</v>
      </c>
      <c r="C101" s="373"/>
      <c r="D101" s="120"/>
      <c r="E101" s="121"/>
      <c r="F101" s="117">
        <f t="shared" si="4"/>
        <v>0</v>
      </c>
      <c r="G101" s="122"/>
      <c r="H101" s="118">
        <f t="shared" si="3"/>
        <v>0</v>
      </c>
      <c r="I101" s="124"/>
      <c r="J101" s="124"/>
      <c r="K101" s="119"/>
      <c r="L101" s="119"/>
      <c r="M101" s="119"/>
      <c r="N101" s="148"/>
      <c r="O101" s="88"/>
    </row>
    <row r="102" spans="1:15" ht="13.5">
      <c r="A102" s="88">
        <v>44</v>
      </c>
      <c r="B102" s="155" t="s">
        <v>212</v>
      </c>
      <c r="C102" s="373"/>
      <c r="D102" s="120"/>
      <c r="E102" s="121"/>
      <c r="F102" s="117">
        <f t="shared" si="4"/>
        <v>0</v>
      </c>
      <c r="G102" s="122"/>
      <c r="H102" s="118">
        <f t="shared" si="3"/>
        <v>0</v>
      </c>
      <c r="I102" s="124"/>
      <c r="J102" s="124"/>
      <c r="K102" s="119"/>
      <c r="L102" s="119"/>
      <c r="M102" s="119"/>
      <c r="N102" s="148"/>
      <c r="O102" s="88"/>
    </row>
    <row r="103" spans="1:15" ht="13.5">
      <c r="A103" s="88">
        <v>45</v>
      </c>
      <c r="B103" s="155" t="s">
        <v>212</v>
      </c>
      <c r="C103" s="373"/>
      <c r="D103" s="120"/>
      <c r="E103" s="121"/>
      <c r="F103" s="117">
        <f t="shared" si="4"/>
        <v>0</v>
      </c>
      <c r="G103" s="122"/>
      <c r="H103" s="118">
        <f t="shared" si="3"/>
        <v>0</v>
      </c>
      <c r="I103" s="124"/>
      <c r="J103" s="124"/>
      <c r="K103" s="119"/>
      <c r="L103" s="119"/>
      <c r="M103" s="119"/>
      <c r="N103" s="148"/>
      <c r="O103" s="88"/>
    </row>
    <row r="104" spans="1:15" ht="13.5">
      <c r="A104" s="88">
        <v>46</v>
      </c>
      <c r="B104" s="155" t="s">
        <v>212</v>
      </c>
      <c r="C104" s="373"/>
      <c r="D104" s="120"/>
      <c r="E104" s="121"/>
      <c r="F104" s="117">
        <f t="shared" si="4"/>
        <v>0</v>
      </c>
      <c r="G104" s="122"/>
      <c r="H104" s="118">
        <f t="shared" si="3"/>
        <v>0</v>
      </c>
      <c r="I104" s="124"/>
      <c r="J104" s="124"/>
      <c r="K104" s="119"/>
      <c r="L104" s="119"/>
      <c r="M104" s="119"/>
      <c r="N104" s="148"/>
      <c r="O104" s="88"/>
    </row>
    <row r="105" spans="1:15" ht="13.5">
      <c r="A105" s="88">
        <v>47</v>
      </c>
      <c r="B105" s="155" t="s">
        <v>212</v>
      </c>
      <c r="C105" s="373"/>
      <c r="D105" s="120"/>
      <c r="E105" s="121"/>
      <c r="F105" s="117">
        <f t="shared" si="4"/>
        <v>0</v>
      </c>
      <c r="G105" s="122"/>
      <c r="H105" s="118">
        <f t="shared" si="3"/>
        <v>0</v>
      </c>
      <c r="I105" s="124"/>
      <c r="J105" s="124"/>
      <c r="K105" s="119"/>
      <c r="L105" s="119"/>
      <c r="M105" s="119"/>
      <c r="N105" s="148"/>
      <c r="O105" s="88"/>
    </row>
    <row r="106" spans="1:15" ht="13.5">
      <c r="A106" s="88">
        <v>48</v>
      </c>
      <c r="B106" s="155" t="s">
        <v>212</v>
      </c>
      <c r="C106" s="373"/>
      <c r="D106" s="120"/>
      <c r="E106" s="121"/>
      <c r="F106" s="117">
        <f t="shared" si="4"/>
        <v>0</v>
      </c>
      <c r="G106" s="122"/>
      <c r="H106" s="118">
        <f t="shared" si="3"/>
        <v>0</v>
      </c>
      <c r="I106" s="124"/>
      <c r="J106" s="124"/>
      <c r="K106" s="119"/>
      <c r="L106" s="119"/>
      <c r="M106" s="119"/>
      <c r="N106" s="148"/>
      <c r="O106" s="88"/>
    </row>
    <row r="107" spans="1:15" ht="13.5">
      <c r="A107" s="88">
        <v>49</v>
      </c>
      <c r="B107" s="155" t="s">
        <v>212</v>
      </c>
      <c r="C107" s="373"/>
      <c r="D107" s="120"/>
      <c r="E107" s="121"/>
      <c r="F107" s="117">
        <f t="shared" si="4"/>
        <v>0</v>
      </c>
      <c r="G107" s="122"/>
      <c r="H107" s="118">
        <f t="shared" si="3"/>
        <v>0</v>
      </c>
      <c r="I107" s="124"/>
      <c r="J107" s="124"/>
      <c r="K107" s="119"/>
      <c r="L107" s="119"/>
      <c r="M107" s="119"/>
      <c r="N107" s="148"/>
      <c r="O107" s="88"/>
    </row>
    <row r="108" spans="1:15" ht="13.5">
      <c r="A108" s="88">
        <v>50</v>
      </c>
      <c r="B108" s="155" t="s">
        <v>212</v>
      </c>
      <c r="C108" s="373"/>
      <c r="D108" s="120"/>
      <c r="E108" s="121"/>
      <c r="F108" s="117">
        <f t="shared" si="4"/>
        <v>0</v>
      </c>
      <c r="G108" s="122"/>
      <c r="H108" s="118">
        <f t="shared" si="3"/>
        <v>0</v>
      </c>
      <c r="I108" s="124"/>
      <c r="J108" s="124"/>
      <c r="K108" s="119"/>
      <c r="L108" s="119"/>
      <c r="M108" s="119"/>
      <c r="N108" s="148"/>
      <c r="O108" s="88"/>
    </row>
    <row r="109" spans="1:15" ht="13.5">
      <c r="A109" s="88">
        <v>51</v>
      </c>
      <c r="B109" s="155" t="s">
        <v>212</v>
      </c>
      <c r="C109" s="373"/>
      <c r="D109" s="120"/>
      <c r="E109" s="121"/>
      <c r="F109" s="117">
        <f t="shared" si="4"/>
        <v>0</v>
      </c>
      <c r="G109" s="122"/>
      <c r="H109" s="118">
        <f t="shared" si="3"/>
        <v>0</v>
      </c>
      <c r="I109" s="124"/>
      <c r="J109" s="124"/>
      <c r="K109" s="119"/>
      <c r="L109" s="119"/>
      <c r="M109" s="119"/>
      <c r="N109" s="148"/>
      <c r="O109" s="88"/>
    </row>
    <row r="110" spans="1:15" ht="13.5">
      <c r="A110" s="88">
        <v>52</v>
      </c>
      <c r="B110" s="155" t="s">
        <v>212</v>
      </c>
      <c r="C110" s="373"/>
      <c r="D110" s="120"/>
      <c r="E110" s="121"/>
      <c r="F110" s="117">
        <f t="shared" si="4"/>
        <v>0</v>
      </c>
      <c r="G110" s="122"/>
      <c r="H110" s="118">
        <f t="shared" si="3"/>
        <v>0</v>
      </c>
      <c r="I110" s="124"/>
      <c r="J110" s="124"/>
      <c r="K110" s="119"/>
      <c r="L110" s="119"/>
      <c r="M110" s="119"/>
      <c r="N110" s="148"/>
      <c r="O110" s="88"/>
    </row>
    <row r="111" spans="1:15" ht="13.5">
      <c r="A111" s="88">
        <v>53</v>
      </c>
      <c r="B111" s="155" t="s">
        <v>212</v>
      </c>
      <c r="C111" s="373"/>
      <c r="D111" s="120"/>
      <c r="E111" s="121"/>
      <c r="F111" s="117">
        <f t="shared" si="4"/>
        <v>0</v>
      </c>
      <c r="G111" s="122"/>
      <c r="H111" s="118">
        <f t="shared" si="3"/>
        <v>0</v>
      </c>
      <c r="I111" s="124"/>
      <c r="J111" s="124"/>
      <c r="K111" s="119"/>
      <c r="L111" s="119"/>
      <c r="M111" s="119"/>
      <c r="N111" s="148"/>
      <c r="O111" s="88"/>
    </row>
    <row r="112" spans="1:15" ht="13.5">
      <c r="A112" s="88">
        <v>54</v>
      </c>
      <c r="B112" s="155" t="s">
        <v>212</v>
      </c>
      <c r="C112" s="373"/>
      <c r="D112" s="120"/>
      <c r="E112" s="121"/>
      <c r="F112" s="117">
        <f t="shared" si="4"/>
        <v>0</v>
      </c>
      <c r="G112" s="122"/>
      <c r="H112" s="118">
        <f t="shared" si="3"/>
        <v>0</v>
      </c>
      <c r="I112" s="124"/>
      <c r="J112" s="124"/>
      <c r="K112" s="119"/>
      <c r="L112" s="119"/>
      <c r="M112" s="119"/>
      <c r="N112" s="148"/>
      <c r="O112" s="88"/>
    </row>
    <row r="113" spans="1:15" ht="13.5">
      <c r="A113" s="88">
        <v>55</v>
      </c>
      <c r="B113" s="155" t="s">
        <v>212</v>
      </c>
      <c r="C113" s="373"/>
      <c r="D113" s="120"/>
      <c r="E113" s="121"/>
      <c r="F113" s="117">
        <f t="shared" si="4"/>
        <v>0</v>
      </c>
      <c r="G113" s="122"/>
      <c r="H113" s="118">
        <f t="shared" si="3"/>
        <v>0</v>
      </c>
      <c r="I113" s="124"/>
      <c r="J113" s="124"/>
      <c r="K113" s="119"/>
      <c r="L113" s="119"/>
      <c r="M113" s="119"/>
      <c r="N113" s="148"/>
      <c r="O113" s="88"/>
    </row>
    <row r="114" spans="1:15" ht="13.5">
      <c r="A114" s="88">
        <v>56</v>
      </c>
      <c r="B114" s="155" t="s">
        <v>212</v>
      </c>
      <c r="C114" s="373"/>
      <c r="D114" s="120"/>
      <c r="E114" s="121"/>
      <c r="F114" s="117">
        <f t="shared" si="4"/>
        <v>0</v>
      </c>
      <c r="G114" s="122"/>
      <c r="H114" s="118">
        <f t="shared" si="3"/>
        <v>0</v>
      </c>
      <c r="I114" s="124"/>
      <c r="J114" s="124"/>
      <c r="K114" s="119"/>
      <c r="L114" s="119"/>
      <c r="M114" s="119"/>
      <c r="N114" s="148"/>
      <c r="O114" s="88"/>
    </row>
    <row r="115" spans="1:15" ht="13.5">
      <c r="A115" s="88">
        <v>57</v>
      </c>
      <c r="B115" s="155" t="s">
        <v>212</v>
      </c>
      <c r="C115" s="373"/>
      <c r="D115" s="120"/>
      <c r="E115" s="121"/>
      <c r="F115" s="117">
        <f>D115*E115</f>
        <v>0</v>
      </c>
      <c r="G115" s="122"/>
      <c r="H115" s="118">
        <f>G115*D115</f>
        <v>0</v>
      </c>
      <c r="I115" s="124"/>
      <c r="J115" s="124"/>
      <c r="K115" s="119"/>
      <c r="L115" s="119"/>
      <c r="M115" s="119"/>
      <c r="N115" s="148"/>
      <c r="O115" s="88"/>
    </row>
    <row r="116" spans="1:15" ht="13.5">
      <c r="A116" s="88">
        <v>58</v>
      </c>
      <c r="B116" s="155" t="s">
        <v>212</v>
      </c>
      <c r="C116" s="373"/>
      <c r="D116" s="120"/>
      <c r="E116" s="121"/>
      <c r="F116" s="117">
        <f>D116*E116</f>
        <v>0</v>
      </c>
      <c r="G116" s="122"/>
      <c r="H116" s="118">
        <f>G116*D116</f>
        <v>0</v>
      </c>
      <c r="I116" s="124"/>
      <c r="J116" s="124"/>
      <c r="K116" s="119"/>
      <c r="L116" s="119"/>
      <c r="M116" s="119"/>
      <c r="N116" s="148"/>
      <c r="O116" s="88"/>
    </row>
    <row r="117" spans="1:15" ht="13.5">
      <c r="A117" s="88">
        <v>59</v>
      </c>
      <c r="B117" s="155" t="s">
        <v>212</v>
      </c>
      <c r="C117" s="373"/>
      <c r="D117" s="120"/>
      <c r="E117" s="121"/>
      <c r="F117" s="117">
        <f>D117*E117</f>
        <v>0</v>
      </c>
      <c r="G117" s="122"/>
      <c r="H117" s="118">
        <f>G117*D117</f>
        <v>0</v>
      </c>
      <c r="I117" s="124"/>
      <c r="J117" s="124"/>
      <c r="K117" s="119"/>
      <c r="L117" s="119"/>
      <c r="M117" s="119"/>
      <c r="N117" s="148"/>
      <c r="O117" s="88"/>
    </row>
    <row r="118" spans="1:15" ht="13.5">
      <c r="A118" s="88">
        <v>60</v>
      </c>
      <c r="B118" s="155" t="s">
        <v>212</v>
      </c>
      <c r="C118" s="373"/>
      <c r="D118" s="120"/>
      <c r="E118" s="121"/>
      <c r="F118" s="117">
        <f t="shared" si="4"/>
        <v>0</v>
      </c>
      <c r="G118" s="122"/>
      <c r="H118" s="118">
        <f t="shared" si="3"/>
        <v>0</v>
      </c>
      <c r="I118" s="124"/>
      <c r="J118" s="124"/>
      <c r="K118" s="119"/>
      <c r="L118" s="119"/>
      <c r="M118" s="119"/>
      <c r="N118" s="148"/>
      <c r="O118" s="88"/>
    </row>
    <row r="119" spans="1:15" ht="13.5">
      <c r="A119" s="88">
        <v>61</v>
      </c>
      <c r="B119" s="155" t="s">
        <v>212</v>
      </c>
      <c r="C119" s="373"/>
      <c r="D119" s="120"/>
      <c r="E119" s="121"/>
      <c r="F119" s="117">
        <f t="shared" si="4"/>
        <v>0</v>
      </c>
      <c r="G119" s="122"/>
      <c r="H119" s="118">
        <f t="shared" si="3"/>
        <v>0</v>
      </c>
      <c r="I119" s="124"/>
      <c r="J119" s="124"/>
      <c r="K119" s="119"/>
      <c r="L119" s="119"/>
      <c r="M119" s="119"/>
      <c r="N119" s="148"/>
      <c r="O119" s="88"/>
    </row>
    <row r="120" spans="1:15" ht="13.5">
      <c r="A120" s="88">
        <v>62</v>
      </c>
      <c r="B120" s="155" t="s">
        <v>212</v>
      </c>
      <c r="C120" s="373"/>
      <c r="D120" s="120"/>
      <c r="E120" s="121"/>
      <c r="F120" s="117">
        <f t="shared" si="4"/>
        <v>0</v>
      </c>
      <c r="G120" s="122"/>
      <c r="H120" s="118">
        <f t="shared" si="3"/>
        <v>0</v>
      </c>
      <c r="I120" s="124"/>
      <c r="J120" s="124"/>
      <c r="K120" s="119"/>
      <c r="L120" s="119"/>
      <c r="M120" s="119"/>
      <c r="N120" s="148"/>
      <c r="O120" s="88"/>
    </row>
    <row r="121" spans="1:15" ht="13.5">
      <c r="A121" s="88">
        <v>63</v>
      </c>
      <c r="B121" s="158" t="s">
        <v>212</v>
      </c>
      <c r="C121" s="373"/>
      <c r="D121" s="120"/>
      <c r="E121" s="121"/>
      <c r="F121" s="117">
        <f t="shared" si="4"/>
        <v>0</v>
      </c>
      <c r="G121" s="122"/>
      <c r="H121" s="118">
        <f>G121*D121</f>
        <v>0</v>
      </c>
      <c r="I121" s="124"/>
      <c r="J121" s="124"/>
      <c r="K121" s="119"/>
      <c r="L121" s="119"/>
      <c r="M121" s="119"/>
      <c r="N121" s="148"/>
      <c r="O121" s="88"/>
    </row>
    <row r="122" spans="1:15" ht="6.75" customHeight="1">
      <c r="A122" s="88"/>
      <c r="B122" s="114"/>
      <c r="C122" s="159"/>
      <c r="D122" s="85"/>
      <c r="E122" s="86"/>
      <c r="F122" s="86"/>
      <c r="G122" s="115"/>
      <c r="H122" s="116"/>
      <c r="I122" s="88"/>
      <c r="J122" s="88"/>
      <c r="K122" s="88"/>
      <c r="L122" s="88"/>
      <c r="M122" s="88"/>
      <c r="N122" s="88"/>
      <c r="O122" s="88"/>
    </row>
    <row r="123" spans="1:15" ht="6.75" customHeight="1">
      <c r="A123" s="88"/>
      <c r="B123" s="114"/>
      <c r="C123" s="160"/>
      <c r="D123" s="85"/>
      <c r="E123" s="86"/>
      <c r="F123" s="86"/>
      <c r="G123" s="115"/>
      <c r="H123" s="116"/>
      <c r="I123" s="88"/>
      <c r="J123" s="88"/>
      <c r="K123" s="88"/>
      <c r="L123" s="88"/>
      <c r="M123" s="88"/>
      <c r="N123" s="88"/>
      <c r="O123" s="88"/>
    </row>
    <row r="124" spans="1:15" ht="6.75" customHeight="1">
      <c r="A124" s="88"/>
      <c r="B124" s="114"/>
      <c r="C124" s="114"/>
      <c r="D124" s="85"/>
      <c r="E124" s="86"/>
      <c r="F124" s="86"/>
      <c r="G124" s="115"/>
      <c r="H124" s="116"/>
      <c r="I124" s="88"/>
      <c r="J124" s="88"/>
      <c r="K124" s="88"/>
      <c r="L124" s="88"/>
      <c r="M124" s="88"/>
      <c r="N124" s="88"/>
      <c r="O124" s="88"/>
    </row>
    <row r="125" spans="1:16" ht="6.75" customHeight="1">
      <c r="A125" s="84"/>
      <c r="B125" s="114"/>
      <c r="C125" s="114"/>
      <c r="D125" s="85"/>
      <c r="E125" s="86"/>
      <c r="F125" s="86"/>
      <c r="G125" s="87"/>
      <c r="H125" s="87"/>
      <c r="I125" s="84"/>
      <c r="J125" s="88"/>
      <c r="K125" s="84"/>
      <c r="L125" s="84"/>
      <c r="M125" s="84"/>
      <c r="N125" s="88"/>
      <c r="O125" s="84"/>
      <c r="P125" s="84"/>
    </row>
    <row r="126" ht="6.75" customHeight="1"/>
    <row r="146" ht="6.75" customHeight="1"/>
    <row r="147" ht="6.75" customHeight="1"/>
    <row r="160" ht="6.75" customHeight="1"/>
    <row r="161" ht="6.75" customHeight="1"/>
    <row r="173" ht="6.75" customHeight="1"/>
    <row r="174" ht="6.75" customHeight="1"/>
    <row r="229" ht="6.75" customHeight="1"/>
    <row r="230" ht="6.75" customHeight="1"/>
    <row r="247" ht="6.75" customHeight="1"/>
    <row r="248" ht="6.75" customHeight="1"/>
    <row r="277" ht="6.75" customHeight="1"/>
    <row r="278" ht="6.75" customHeight="1"/>
    <row r="303" ht="6.75" customHeight="1"/>
    <row r="304" ht="6.75" customHeight="1"/>
  </sheetData>
  <sheetProtection/>
  <mergeCells count="38">
    <mergeCell ref="V17:V18"/>
    <mergeCell ref="T15:U15"/>
    <mergeCell ref="T16:U16"/>
    <mergeCell ref="O17:O18"/>
    <mergeCell ref="P17:P18"/>
    <mergeCell ref="Q17:Q18"/>
    <mergeCell ref="R17:R18"/>
    <mergeCell ref="S17:S18"/>
    <mergeCell ref="T17:T18"/>
    <mergeCell ref="U17:U18"/>
    <mergeCell ref="T10:U11"/>
    <mergeCell ref="T12:U12"/>
    <mergeCell ref="T13:U13"/>
    <mergeCell ref="T14:U14"/>
    <mergeCell ref="P10:P11"/>
    <mergeCell ref="Q10:Q11"/>
    <mergeCell ref="R10:R11"/>
    <mergeCell ref="S10:S11"/>
    <mergeCell ref="I6:J7"/>
    <mergeCell ref="K6:L7"/>
    <mergeCell ref="D7:E7"/>
    <mergeCell ref="O10:O11"/>
    <mergeCell ref="I2:J3"/>
    <mergeCell ref="K2:L3"/>
    <mergeCell ref="M2:N2"/>
    <mergeCell ref="H2:H3"/>
    <mergeCell ref="G6:G7"/>
    <mergeCell ref="H6:H7"/>
    <mergeCell ref="B3:B4"/>
    <mergeCell ref="G4:G5"/>
    <mergeCell ref="H4:H5"/>
    <mergeCell ref="I4:J5"/>
    <mergeCell ref="K4:L5"/>
    <mergeCell ref="D5:D6"/>
    <mergeCell ref="E5:F6"/>
    <mergeCell ref="C2:C7"/>
    <mergeCell ref="D2:D4"/>
    <mergeCell ref="G2:G3"/>
  </mergeCells>
  <printOptions/>
  <pageMargins left="0.787" right="0.787" top="0.984" bottom="0.984" header="0.512" footer="0.512"/>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S44"/>
  <sheetViews>
    <sheetView zoomScale="80" zoomScaleNormal="80"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J11" sqref="J11"/>
    </sheetView>
  </sheetViews>
  <sheetFormatPr defaultColWidth="9.00390625" defaultRowHeight="13.5"/>
  <cols>
    <col min="1" max="1" width="9.375" style="0" customWidth="1"/>
    <col min="2" max="2" width="21.50390625" style="0" customWidth="1"/>
    <col min="3" max="4" width="4.125" style="0" customWidth="1"/>
    <col min="5" max="5" width="9.75390625" style="0" customWidth="1"/>
    <col min="6" max="6" width="10.625" style="0" customWidth="1"/>
    <col min="7" max="7" width="7.875" style="0" customWidth="1"/>
    <col min="8" max="9" width="6.375" style="0" customWidth="1"/>
    <col min="10" max="10" width="12.125" style="0" customWidth="1"/>
    <col min="11" max="11" width="12.375" style="0" customWidth="1"/>
    <col min="12" max="13" width="10.00390625" style="0" customWidth="1"/>
    <col min="14" max="14" width="9.375" style="0" customWidth="1"/>
    <col min="15" max="15" width="9.625" style="0" customWidth="1"/>
    <col min="16" max="16" width="20.625" style="0" customWidth="1"/>
    <col min="17" max="18" width="12.50390625" style="0" customWidth="1"/>
    <col min="19" max="19" width="25.00390625" style="0" customWidth="1"/>
  </cols>
  <sheetData>
    <row r="1" spans="1:19" ht="6.75" customHeight="1">
      <c r="A1" s="247"/>
      <c r="B1" s="247"/>
      <c r="C1" s="247"/>
      <c r="D1" s="247"/>
      <c r="E1" s="247"/>
      <c r="F1" s="247"/>
      <c r="G1" s="247"/>
      <c r="H1" s="247"/>
      <c r="I1" s="247"/>
      <c r="J1" s="247"/>
      <c r="K1" s="247"/>
      <c r="L1" s="247"/>
      <c r="M1" s="247"/>
      <c r="N1" s="247"/>
      <c r="O1" s="247"/>
      <c r="P1" s="247"/>
      <c r="Q1" s="247"/>
      <c r="R1" s="247"/>
      <c r="S1" s="247"/>
    </row>
    <row r="2" spans="1:19" ht="11.25" customHeight="1">
      <c r="A2" s="1096" t="s">
        <v>377</v>
      </c>
      <c r="B2" s="1097">
        <f>IF('能力'!C68="","",'能力'!C68)</f>
      </c>
      <c r="C2" s="248"/>
      <c r="D2" s="248"/>
      <c r="E2" s="1068" t="s">
        <v>221</v>
      </c>
      <c r="F2" s="1099" t="s">
        <v>222</v>
      </c>
      <c r="G2" s="1100"/>
      <c r="H2" s="1100"/>
      <c r="I2" s="1100"/>
      <c r="J2" s="1101"/>
      <c r="K2" s="1087" t="s">
        <v>223</v>
      </c>
      <c r="L2" s="1079"/>
      <c r="M2" s="1079"/>
      <c r="N2" s="1089" t="s">
        <v>224</v>
      </c>
      <c r="O2" s="1090" t="str">
        <f>25+INT(B5/2)*5&amp;"ｆｔ"</f>
        <v>25ｆｔ</v>
      </c>
      <c r="P2" s="248"/>
      <c r="S2" s="248"/>
    </row>
    <row r="3" spans="1:19" ht="11.25" customHeight="1">
      <c r="A3" s="1086"/>
      <c r="B3" s="1098"/>
      <c r="C3" s="248"/>
      <c r="D3" s="248"/>
      <c r="E3" s="1068"/>
      <c r="F3" s="1102"/>
      <c r="G3" s="1103"/>
      <c r="H3" s="1103"/>
      <c r="I3" s="1103"/>
      <c r="J3" s="1104"/>
      <c r="K3" s="1087"/>
      <c r="L3" s="1079"/>
      <c r="M3" s="1079"/>
      <c r="N3" s="1089"/>
      <c r="O3" s="1090"/>
      <c r="P3" s="248"/>
      <c r="S3" s="248"/>
    </row>
    <row r="4" spans="1:19" ht="11.25" customHeight="1">
      <c r="A4" s="249"/>
      <c r="B4" s="250"/>
      <c r="C4" s="248"/>
      <c r="D4" s="248"/>
      <c r="E4" s="1068" t="s">
        <v>480</v>
      </c>
      <c r="F4" s="1069">
        <f>CONCATENATE(IF('能力'!S69="","",'能力'!S69),IF('能力'!U69="","",CONCATENATE("/ ",'能力'!U69)),IF('能力'!W69="","",CONCATENATE("/ ",'能力'!W69)),IF('能力'!Y69="","",CONCATENATE("/ ",'能力'!Y69)),IF('能力'!AA69="","",CONCATENATE("/ ",'能力'!AA69)),IF('能力'!AC69="","",CONCATENATE("/ ",'能力'!AC69)),IF('能力'!AE69="","",CONCATENATE("/ ",'能力'!AE69)),IF('能力'!AG69="","",CONCATENATE("/ ",'能力'!AG69)),IF('能力'!AI69="","",CONCATENATE("/ ",'能力'!AI69)),IF('能力'!AK69="","",CONCATENATE("/ ",'能力'!AK69)))</f>
      </c>
      <c r="G4" s="1070"/>
      <c r="H4" s="1070"/>
      <c r="I4" s="1070"/>
      <c r="J4" s="1071"/>
      <c r="K4" s="1087" t="s">
        <v>225</v>
      </c>
      <c r="L4" s="1079"/>
      <c r="M4" s="1079"/>
      <c r="N4" s="1089" t="s">
        <v>226</v>
      </c>
      <c r="O4" s="1090" t="str">
        <f>100+B5*10&amp;"ｆｔ"</f>
        <v>100ｆｔ</v>
      </c>
      <c r="P4" s="248"/>
      <c r="S4" s="248"/>
    </row>
    <row r="5" spans="1:19" ht="11.25" customHeight="1">
      <c r="A5" s="1091" t="s">
        <v>477</v>
      </c>
      <c r="B5" s="1092">
        <f>'能力'!L68</f>
        <v>0</v>
      </c>
      <c r="C5" s="248"/>
      <c r="D5" s="248"/>
      <c r="E5" s="1068"/>
      <c r="F5" s="1072"/>
      <c r="G5" s="1073"/>
      <c r="H5" s="1073"/>
      <c r="I5" s="1073"/>
      <c r="J5" s="1074"/>
      <c r="K5" s="1087"/>
      <c r="L5" s="1079"/>
      <c r="M5" s="1079"/>
      <c r="N5" s="1089"/>
      <c r="O5" s="1090"/>
      <c r="P5" s="248"/>
      <c r="S5" s="248"/>
    </row>
    <row r="6" spans="1:19" ht="11.25" customHeight="1">
      <c r="A6" s="1091"/>
      <c r="B6" s="1092"/>
      <c r="C6" s="248"/>
      <c r="D6" s="248"/>
      <c r="E6" s="1068" t="s">
        <v>482</v>
      </c>
      <c r="F6" s="1069">
        <f>CONCATENATE(IF('能力'!S70="","",'能力'!S70),IF('能力'!U70="","",CONCATENATE("/ ",'能力'!U70)),IF('能力'!W70="","",CONCATENATE("/ ",'能力'!W70)),IF('能力'!Y70="","",CONCATENATE("/ ",'能力'!Y70)),IF('能力'!AA70="","",CONCATENATE("/ ",'能力'!AA70)),IF('能力'!AC70="","",CONCATENATE("/ ",'能力'!AC70)),IF('能力'!AE70="","",CONCATENATE("/ ",'能力'!AE70)),IF('能力'!AG70="","",CONCATENATE("/ ",'能力'!AG70)),IF('能力'!AI70="","",CONCATENATE("/ ",'能力'!AI70)),IF('能力'!AK70="","",CONCATENATE("/ ",'能力'!AK70)))</f>
      </c>
      <c r="G6" s="1070"/>
      <c r="H6" s="1070"/>
      <c r="I6" s="1070"/>
      <c r="J6" s="1071"/>
      <c r="K6" s="1093" t="s">
        <v>227</v>
      </c>
      <c r="L6" s="1078"/>
      <c r="M6" s="1079"/>
      <c r="N6" s="1089" t="s">
        <v>228</v>
      </c>
      <c r="O6" s="1090" t="str">
        <f>400+B5*20&amp;"ｆｔ"</f>
        <v>400ｆｔ</v>
      </c>
      <c r="P6" s="248"/>
      <c r="S6" s="248"/>
    </row>
    <row r="7" spans="1:19" ht="11.25" customHeight="1">
      <c r="A7" s="251"/>
      <c r="B7" s="252"/>
      <c r="C7" s="248"/>
      <c r="D7" s="248"/>
      <c r="E7" s="1068"/>
      <c r="F7" s="1072"/>
      <c r="G7" s="1073"/>
      <c r="H7" s="1073"/>
      <c r="I7" s="1073"/>
      <c r="J7" s="1074"/>
      <c r="K7" s="1094"/>
      <c r="L7" s="1078"/>
      <c r="M7" s="1079"/>
      <c r="N7" s="1089"/>
      <c r="O7" s="1090"/>
      <c r="P7" s="248"/>
      <c r="S7" s="248"/>
    </row>
    <row r="8" spans="1:19" ht="11.25" customHeight="1">
      <c r="A8" s="1075" t="str">
        <f>IF('能力'!J69=7,"【対応能力値】",INDEX('能力'!BU21:BU27,'能力'!J69))</f>
        <v>【対応能力値】</v>
      </c>
      <c r="B8" s="1077" t="str">
        <f>IF('能力'!J69=7,"―",INDEX('能力'!I18:I23,'能力'!J69))</f>
        <v>―</v>
      </c>
      <c r="C8" s="248"/>
      <c r="D8" s="248"/>
      <c r="E8" s="250"/>
      <c r="F8" s="250"/>
      <c r="G8" s="250"/>
      <c r="H8" s="250"/>
      <c r="I8" s="250"/>
      <c r="K8" s="1094"/>
      <c r="L8" s="1078"/>
      <c r="M8" s="1079"/>
      <c r="N8" s="248"/>
      <c r="O8" s="248"/>
      <c r="P8" s="248"/>
      <c r="S8" s="248"/>
    </row>
    <row r="9" spans="1:19" ht="11.25" customHeight="1">
      <c r="A9" s="1076"/>
      <c r="B9" s="1077"/>
      <c r="C9" s="248"/>
      <c r="D9" s="248"/>
      <c r="E9" s="1080" t="s">
        <v>180</v>
      </c>
      <c r="F9" s="1081"/>
      <c r="G9" s="1084">
        <f>'能力'!AW84</f>
        <v>0</v>
      </c>
      <c r="H9" s="1085"/>
      <c r="I9" s="1084"/>
      <c r="K9" s="1095"/>
      <c r="L9" s="1078"/>
      <c r="M9" s="1079"/>
      <c r="N9" s="248"/>
      <c r="O9" s="248"/>
      <c r="P9" s="248"/>
      <c r="S9" s="248"/>
    </row>
    <row r="10" spans="1:19" ht="11.25" customHeight="1">
      <c r="A10" s="1086" t="s">
        <v>229</v>
      </c>
      <c r="B10" s="1088">
        <f>IF('能力'!J69=7,"",INT((B8-10)/2))</f>
      </c>
      <c r="C10" s="248"/>
      <c r="D10" s="248"/>
      <c r="E10" s="1082"/>
      <c r="F10" s="1083"/>
      <c r="G10" s="1084"/>
      <c r="H10" s="1084"/>
      <c r="I10" s="1084"/>
      <c r="J10" s="253"/>
      <c r="K10" s="248"/>
      <c r="L10" s="248"/>
      <c r="M10" s="248"/>
      <c r="N10" s="248"/>
      <c r="O10" s="248"/>
      <c r="P10" s="248"/>
      <c r="Q10" s="248"/>
      <c r="R10" s="248"/>
      <c r="S10" s="248"/>
    </row>
    <row r="11" spans="1:19" ht="11.25" customHeight="1">
      <c r="A11" s="1087"/>
      <c r="B11" s="1088"/>
      <c r="C11" s="248"/>
      <c r="D11" s="248"/>
      <c r="E11" s="254"/>
      <c r="F11" s="255"/>
      <c r="G11" s="248"/>
      <c r="H11" s="248"/>
      <c r="I11" s="248"/>
      <c r="J11" s="253"/>
      <c r="K11" s="248"/>
      <c r="L11" s="248"/>
      <c r="M11" s="248"/>
      <c r="N11" s="248"/>
      <c r="O11" s="248"/>
      <c r="P11" s="248"/>
      <c r="Q11" s="248"/>
      <c r="R11" s="248"/>
      <c r="S11" s="248"/>
    </row>
    <row r="12" spans="1:19" ht="11.25" customHeight="1">
      <c r="A12" s="253"/>
      <c r="B12" s="253"/>
      <c r="C12" s="253"/>
      <c r="D12" s="253"/>
      <c r="E12" s="248"/>
      <c r="F12" s="253"/>
      <c r="G12" s="248"/>
      <c r="H12" s="248"/>
      <c r="I12" s="248"/>
      <c r="J12" s="253"/>
      <c r="K12" s="253"/>
      <c r="L12" s="253"/>
      <c r="M12" s="248"/>
      <c r="N12" s="248"/>
      <c r="O12" s="248"/>
      <c r="P12" s="248"/>
      <c r="Q12" s="248"/>
      <c r="R12" s="248"/>
      <c r="S12" s="248"/>
    </row>
    <row r="13" spans="1:19" ht="13.5">
      <c r="A13" s="256" t="s">
        <v>230</v>
      </c>
      <c r="B13" s="257" t="s">
        <v>231</v>
      </c>
      <c r="C13" s="257" t="s">
        <v>42</v>
      </c>
      <c r="D13" s="257" t="s">
        <v>40</v>
      </c>
      <c r="E13" s="257" t="s">
        <v>232</v>
      </c>
      <c r="F13" s="257" t="s">
        <v>233</v>
      </c>
      <c r="G13" s="257" t="s">
        <v>234</v>
      </c>
      <c r="H13" s="257" t="s">
        <v>43</v>
      </c>
      <c r="I13" s="257" t="s">
        <v>57</v>
      </c>
      <c r="J13" s="257" t="s">
        <v>235</v>
      </c>
      <c r="K13" s="257" t="s">
        <v>236</v>
      </c>
      <c r="L13" s="257" t="s">
        <v>237</v>
      </c>
      <c r="M13" s="258" t="s">
        <v>238</v>
      </c>
      <c r="N13" s="258" t="s">
        <v>239</v>
      </c>
      <c r="O13" s="258" t="s">
        <v>240</v>
      </c>
      <c r="P13" s="258" t="s">
        <v>241</v>
      </c>
      <c r="Q13" s="258" t="s">
        <v>242</v>
      </c>
      <c r="R13" s="258" t="s">
        <v>243</v>
      </c>
      <c r="S13" s="259" t="s">
        <v>244</v>
      </c>
    </row>
    <row r="14" spans="1:19" ht="13.5">
      <c r="A14" s="260"/>
      <c r="B14" s="261"/>
      <c r="C14" s="261"/>
      <c r="D14" s="261"/>
      <c r="E14" s="262"/>
      <c r="F14" s="262"/>
      <c r="G14" s="262"/>
      <c r="H14" s="262"/>
      <c r="I14" s="262"/>
      <c r="J14" s="262"/>
      <c r="K14" s="262"/>
      <c r="L14" s="262"/>
      <c r="M14" s="262"/>
      <c r="N14" s="262"/>
      <c r="O14" s="262"/>
      <c r="P14" s="262"/>
      <c r="Q14" s="262"/>
      <c r="R14" s="262"/>
      <c r="S14" s="262"/>
    </row>
    <row r="15" spans="1:19" ht="13.5">
      <c r="A15" s="260"/>
      <c r="B15" s="261"/>
      <c r="C15" s="261"/>
      <c r="D15" s="261"/>
      <c r="E15" s="262"/>
      <c r="F15" s="262"/>
      <c r="G15" s="262"/>
      <c r="H15" s="262"/>
      <c r="I15" s="262"/>
      <c r="J15" s="262"/>
      <c r="K15" s="262"/>
      <c r="L15" s="262"/>
      <c r="M15" s="262"/>
      <c r="N15" s="262"/>
      <c r="O15" s="262"/>
      <c r="P15" s="262"/>
      <c r="Q15" s="262"/>
      <c r="R15" s="262"/>
      <c r="S15" s="262"/>
    </row>
    <row r="16" spans="1:19" ht="13.5">
      <c r="A16" s="260"/>
      <c r="B16" s="261"/>
      <c r="C16" s="261"/>
      <c r="D16" s="261"/>
      <c r="E16" s="262"/>
      <c r="F16" s="262"/>
      <c r="G16" s="262"/>
      <c r="H16" s="262"/>
      <c r="I16" s="262"/>
      <c r="J16" s="262"/>
      <c r="K16" s="262"/>
      <c r="L16" s="262"/>
      <c r="M16" s="262"/>
      <c r="N16" s="262"/>
      <c r="O16" s="262"/>
      <c r="P16" s="262"/>
      <c r="Q16" s="262"/>
      <c r="R16" s="262"/>
      <c r="S16" s="262"/>
    </row>
    <row r="17" spans="1:19" ht="13.5">
      <c r="A17" s="260"/>
      <c r="B17" s="261"/>
      <c r="C17" s="261"/>
      <c r="D17" s="261"/>
      <c r="E17" s="262"/>
      <c r="F17" s="262"/>
      <c r="G17" s="262"/>
      <c r="H17" s="262"/>
      <c r="I17" s="262"/>
      <c r="J17" s="262"/>
      <c r="K17" s="262"/>
      <c r="L17" s="262"/>
      <c r="M17" s="262"/>
      <c r="N17" s="262"/>
      <c r="O17" s="262"/>
      <c r="P17" s="262"/>
      <c r="Q17" s="262"/>
      <c r="R17" s="262"/>
      <c r="S17" s="262"/>
    </row>
    <row r="18" spans="1:19" ht="13.5">
      <c r="A18" s="260"/>
      <c r="B18" s="261"/>
      <c r="C18" s="261"/>
      <c r="D18" s="261"/>
      <c r="E18" s="262"/>
      <c r="F18" s="262"/>
      <c r="G18" s="262"/>
      <c r="H18" s="262"/>
      <c r="I18" s="262"/>
      <c r="J18" s="262"/>
      <c r="K18" s="262"/>
      <c r="L18" s="262"/>
      <c r="M18" s="262"/>
      <c r="N18" s="262"/>
      <c r="O18" s="262"/>
      <c r="P18" s="262"/>
      <c r="Q18" s="262"/>
      <c r="R18" s="262"/>
      <c r="S18" s="262"/>
    </row>
    <row r="19" spans="1:19" ht="13.5">
      <c r="A19" s="260"/>
      <c r="B19" s="261"/>
      <c r="C19" s="261"/>
      <c r="D19" s="261"/>
      <c r="E19" s="262"/>
      <c r="F19" s="262"/>
      <c r="G19" s="262"/>
      <c r="H19" s="262"/>
      <c r="I19" s="262"/>
      <c r="J19" s="262"/>
      <c r="K19" s="262"/>
      <c r="L19" s="262"/>
      <c r="M19" s="262"/>
      <c r="N19" s="262"/>
      <c r="O19" s="262"/>
      <c r="P19" s="262"/>
      <c r="Q19" s="262"/>
      <c r="R19" s="262"/>
      <c r="S19" s="262"/>
    </row>
    <row r="20" spans="1:19" ht="13.5">
      <c r="A20" s="260"/>
      <c r="B20" s="261"/>
      <c r="C20" s="261"/>
      <c r="D20" s="261"/>
      <c r="E20" s="262"/>
      <c r="F20" s="262"/>
      <c r="G20" s="262"/>
      <c r="H20" s="262"/>
      <c r="I20" s="262"/>
      <c r="J20" s="262"/>
      <c r="K20" s="262"/>
      <c r="L20" s="262"/>
      <c r="M20" s="262"/>
      <c r="N20" s="262"/>
      <c r="O20" s="262"/>
      <c r="P20" s="262"/>
      <c r="Q20" s="262"/>
      <c r="R20" s="262"/>
      <c r="S20" s="262"/>
    </row>
    <row r="21" spans="1:19" ht="13.5">
      <c r="A21" s="260"/>
      <c r="B21" s="261"/>
      <c r="C21" s="261"/>
      <c r="D21" s="261"/>
      <c r="E21" s="262"/>
      <c r="F21" s="262"/>
      <c r="G21" s="262"/>
      <c r="H21" s="262"/>
      <c r="I21" s="262"/>
      <c r="J21" s="262"/>
      <c r="K21" s="262"/>
      <c r="L21" s="262"/>
      <c r="M21" s="262"/>
      <c r="N21" s="262"/>
      <c r="O21" s="262"/>
      <c r="P21" s="262"/>
      <c r="Q21" s="262"/>
      <c r="R21" s="262"/>
      <c r="S21" s="262"/>
    </row>
    <row r="22" spans="1:19" ht="13.5">
      <c r="A22" s="260"/>
      <c r="B22" s="261"/>
      <c r="C22" s="261"/>
      <c r="D22" s="261"/>
      <c r="E22" s="262"/>
      <c r="F22" s="262"/>
      <c r="G22" s="262"/>
      <c r="H22" s="262"/>
      <c r="I22" s="262"/>
      <c r="J22" s="262"/>
      <c r="K22" s="262"/>
      <c r="L22" s="262"/>
      <c r="M22" s="262"/>
      <c r="N22" s="262"/>
      <c r="O22" s="262"/>
      <c r="P22" s="262"/>
      <c r="Q22" s="262"/>
      <c r="R22" s="262"/>
      <c r="S22" s="262"/>
    </row>
    <row r="23" spans="1:19" ht="13.5">
      <c r="A23" s="260"/>
      <c r="B23" s="261"/>
      <c r="C23" s="261"/>
      <c r="D23" s="261"/>
      <c r="E23" s="262"/>
      <c r="F23" s="263"/>
      <c r="G23" s="262"/>
      <c r="H23" s="262"/>
      <c r="I23" s="262"/>
      <c r="J23" s="262"/>
      <c r="K23" s="262"/>
      <c r="L23" s="262"/>
      <c r="M23" s="262"/>
      <c r="N23" s="262"/>
      <c r="O23" s="262"/>
      <c r="P23" s="262"/>
      <c r="Q23" s="262"/>
      <c r="R23" s="262"/>
      <c r="S23" s="262"/>
    </row>
    <row r="24" spans="1:19" ht="13.5">
      <c r="A24" s="260"/>
      <c r="B24" s="261"/>
      <c r="C24" s="261"/>
      <c r="D24" s="261"/>
      <c r="E24" s="262"/>
      <c r="F24" s="262"/>
      <c r="G24" s="262"/>
      <c r="H24" s="262"/>
      <c r="I24" s="262"/>
      <c r="J24" s="262"/>
      <c r="K24" s="262"/>
      <c r="L24" s="262"/>
      <c r="M24" s="262"/>
      <c r="N24" s="262"/>
      <c r="O24" s="262"/>
      <c r="P24" s="262"/>
      <c r="Q24" s="262"/>
      <c r="R24" s="262"/>
      <c r="S24" s="262"/>
    </row>
    <row r="25" spans="1:19" ht="13.5">
      <c r="A25" s="260"/>
      <c r="B25" s="261"/>
      <c r="C25" s="261"/>
      <c r="D25" s="261"/>
      <c r="E25" s="262"/>
      <c r="F25" s="262"/>
      <c r="G25" s="262"/>
      <c r="H25" s="262"/>
      <c r="I25" s="262"/>
      <c r="J25" s="262"/>
      <c r="K25" s="262"/>
      <c r="L25" s="262"/>
      <c r="M25" s="262"/>
      <c r="N25" s="262"/>
      <c r="O25" s="262"/>
      <c r="P25" s="262"/>
      <c r="Q25" s="262"/>
      <c r="R25" s="262"/>
      <c r="S25" s="262"/>
    </row>
    <row r="26" spans="1:19" ht="13.5">
      <c r="A26" s="260"/>
      <c r="B26" s="261"/>
      <c r="C26" s="261"/>
      <c r="D26" s="261"/>
      <c r="E26" s="262"/>
      <c r="F26" s="262"/>
      <c r="G26" s="262"/>
      <c r="H26" s="262"/>
      <c r="I26" s="262"/>
      <c r="J26" s="262"/>
      <c r="K26" s="262"/>
      <c r="L26" s="262"/>
      <c r="M26" s="262"/>
      <c r="N26" s="262"/>
      <c r="O26" s="262"/>
      <c r="P26" s="262"/>
      <c r="Q26" s="262"/>
      <c r="R26" s="262"/>
      <c r="S26" s="262"/>
    </row>
    <row r="27" spans="1:19" ht="13.5">
      <c r="A27" s="260"/>
      <c r="B27" s="261"/>
      <c r="C27" s="261"/>
      <c r="D27" s="261"/>
      <c r="E27" s="262"/>
      <c r="F27" s="262"/>
      <c r="G27" s="262"/>
      <c r="H27" s="262"/>
      <c r="I27" s="262"/>
      <c r="J27" s="262"/>
      <c r="K27" s="262"/>
      <c r="L27" s="262"/>
      <c r="M27" s="262"/>
      <c r="N27" s="262"/>
      <c r="O27" s="262"/>
      <c r="P27" s="262"/>
      <c r="Q27" s="262"/>
      <c r="R27" s="262"/>
      <c r="S27" s="262"/>
    </row>
    <row r="28" spans="1:19" ht="13.5">
      <c r="A28" s="260"/>
      <c r="B28" s="261"/>
      <c r="C28" s="261"/>
      <c r="D28" s="261"/>
      <c r="E28" s="262"/>
      <c r="F28" s="262"/>
      <c r="G28" s="262"/>
      <c r="H28" s="262"/>
      <c r="I28" s="262"/>
      <c r="J28" s="262"/>
      <c r="K28" s="262"/>
      <c r="L28" s="262"/>
      <c r="M28" s="262"/>
      <c r="N28" s="262"/>
      <c r="O28" s="262"/>
      <c r="P28" s="262"/>
      <c r="Q28" s="262"/>
      <c r="R28" s="262"/>
      <c r="S28" s="262"/>
    </row>
    <row r="29" spans="1:19" ht="13.5">
      <c r="A29" s="260"/>
      <c r="B29" s="261"/>
      <c r="C29" s="261"/>
      <c r="D29" s="261"/>
      <c r="E29" s="262"/>
      <c r="F29" s="262"/>
      <c r="G29" s="262"/>
      <c r="H29" s="262"/>
      <c r="I29" s="262"/>
      <c r="J29" s="262"/>
      <c r="K29" s="262"/>
      <c r="L29" s="262"/>
      <c r="M29" s="262"/>
      <c r="N29" s="262"/>
      <c r="O29" s="262"/>
      <c r="P29" s="262"/>
      <c r="Q29" s="262"/>
      <c r="R29" s="262"/>
      <c r="S29" s="262"/>
    </row>
    <row r="30" spans="1:19" ht="13.5">
      <c r="A30" s="260"/>
      <c r="B30" s="261"/>
      <c r="C30" s="261"/>
      <c r="D30" s="261"/>
      <c r="E30" s="262"/>
      <c r="F30" s="262"/>
      <c r="G30" s="262"/>
      <c r="H30" s="262"/>
      <c r="I30" s="262"/>
      <c r="J30" s="262"/>
      <c r="K30" s="262"/>
      <c r="L30" s="262"/>
      <c r="M30" s="262"/>
      <c r="N30" s="262"/>
      <c r="O30" s="262"/>
      <c r="P30" s="262"/>
      <c r="Q30" s="262"/>
      <c r="R30" s="262"/>
      <c r="S30" s="262"/>
    </row>
    <row r="31" spans="1:19" ht="13.5">
      <c r="A31" s="260"/>
      <c r="B31" s="261"/>
      <c r="C31" s="261"/>
      <c r="D31" s="261"/>
      <c r="E31" s="262"/>
      <c r="F31" s="262"/>
      <c r="G31" s="262"/>
      <c r="H31" s="262"/>
      <c r="I31" s="262"/>
      <c r="J31" s="262"/>
      <c r="K31" s="262"/>
      <c r="L31" s="262"/>
      <c r="M31" s="262"/>
      <c r="N31" s="262"/>
      <c r="O31" s="262"/>
      <c r="P31" s="262"/>
      <c r="Q31" s="262"/>
      <c r="R31" s="262"/>
      <c r="S31" s="262"/>
    </row>
    <row r="32" spans="1:19" ht="13.5">
      <c r="A32" s="260"/>
      <c r="B32" s="261"/>
      <c r="C32" s="261"/>
      <c r="D32" s="261"/>
      <c r="E32" s="262"/>
      <c r="F32" s="262"/>
      <c r="G32" s="262"/>
      <c r="H32" s="262"/>
      <c r="I32" s="262"/>
      <c r="J32" s="262"/>
      <c r="K32" s="262"/>
      <c r="L32" s="262"/>
      <c r="M32" s="262"/>
      <c r="N32" s="262"/>
      <c r="O32" s="262"/>
      <c r="P32" s="262"/>
      <c r="Q32" s="262"/>
      <c r="R32" s="262"/>
      <c r="S32" s="262"/>
    </row>
    <row r="33" spans="1:19" ht="13.5">
      <c r="A33" s="260"/>
      <c r="B33" s="261"/>
      <c r="C33" s="261"/>
      <c r="D33" s="261"/>
      <c r="E33" s="262"/>
      <c r="F33" s="262"/>
      <c r="G33" s="262"/>
      <c r="H33" s="262"/>
      <c r="I33" s="262"/>
      <c r="J33" s="262"/>
      <c r="K33" s="262"/>
      <c r="L33" s="262"/>
      <c r="M33" s="262"/>
      <c r="N33" s="262"/>
      <c r="O33" s="262"/>
      <c r="P33" s="262"/>
      <c r="Q33" s="262"/>
      <c r="R33" s="262"/>
      <c r="S33" s="262"/>
    </row>
    <row r="34" spans="1:19" ht="13.5">
      <c r="A34" s="260"/>
      <c r="B34" s="261"/>
      <c r="C34" s="261"/>
      <c r="D34" s="261"/>
      <c r="E34" s="262"/>
      <c r="F34" s="262"/>
      <c r="G34" s="262"/>
      <c r="H34" s="262"/>
      <c r="I34" s="262"/>
      <c r="J34" s="262"/>
      <c r="K34" s="262"/>
      <c r="L34" s="262"/>
      <c r="M34" s="262"/>
      <c r="N34" s="262"/>
      <c r="O34" s="262"/>
      <c r="P34" s="262"/>
      <c r="Q34" s="262"/>
      <c r="R34" s="262"/>
      <c r="S34" s="262"/>
    </row>
    <row r="35" spans="1:19" ht="13.5">
      <c r="A35" s="260"/>
      <c r="B35" s="261"/>
      <c r="C35" s="261"/>
      <c r="D35" s="261"/>
      <c r="E35" s="262"/>
      <c r="F35" s="262"/>
      <c r="G35" s="262"/>
      <c r="H35" s="262"/>
      <c r="I35" s="262"/>
      <c r="J35" s="262"/>
      <c r="K35" s="262"/>
      <c r="L35" s="262"/>
      <c r="M35" s="262"/>
      <c r="N35" s="262"/>
      <c r="O35" s="262"/>
      <c r="P35" s="262"/>
      <c r="Q35" s="262"/>
      <c r="R35" s="262"/>
      <c r="S35" s="262"/>
    </row>
    <row r="36" spans="1:19" ht="13.5">
      <c r="A36" s="260"/>
      <c r="B36" s="261"/>
      <c r="C36" s="261"/>
      <c r="D36" s="261"/>
      <c r="E36" s="262"/>
      <c r="F36" s="262"/>
      <c r="G36" s="262"/>
      <c r="H36" s="262"/>
      <c r="I36" s="262"/>
      <c r="J36" s="262"/>
      <c r="K36" s="262"/>
      <c r="L36" s="262"/>
      <c r="M36" s="262"/>
      <c r="N36" s="262"/>
      <c r="O36" s="262"/>
      <c r="P36" s="262"/>
      <c r="Q36" s="262"/>
      <c r="R36" s="262"/>
      <c r="S36" s="262"/>
    </row>
    <row r="37" spans="1:19" ht="13.5">
      <c r="A37" s="260"/>
      <c r="B37" s="261"/>
      <c r="C37" s="261"/>
      <c r="D37" s="261"/>
      <c r="E37" s="262"/>
      <c r="F37" s="262"/>
      <c r="G37" s="262"/>
      <c r="H37" s="262"/>
      <c r="I37" s="262"/>
      <c r="J37" s="262"/>
      <c r="K37" s="262"/>
      <c r="L37" s="262"/>
      <c r="M37" s="262"/>
      <c r="N37" s="262"/>
      <c r="O37" s="262"/>
      <c r="P37" s="262"/>
      <c r="Q37" s="262"/>
      <c r="R37" s="262"/>
      <c r="S37" s="262"/>
    </row>
    <row r="38" spans="1:19" ht="13.5">
      <c r="A38" s="260"/>
      <c r="B38" s="261"/>
      <c r="C38" s="261"/>
      <c r="D38" s="261"/>
      <c r="E38" s="262"/>
      <c r="F38" s="262"/>
      <c r="G38" s="262"/>
      <c r="H38" s="262"/>
      <c r="I38" s="262"/>
      <c r="J38" s="262"/>
      <c r="K38" s="262"/>
      <c r="L38" s="262"/>
      <c r="M38" s="262"/>
      <c r="N38" s="262"/>
      <c r="O38" s="262"/>
      <c r="P38" s="262"/>
      <c r="Q38" s="262"/>
      <c r="R38" s="262"/>
      <c r="S38" s="262"/>
    </row>
    <row r="39" spans="1:19" ht="13.5">
      <c r="A39" s="260"/>
      <c r="B39" s="261"/>
      <c r="C39" s="261"/>
      <c r="D39" s="261"/>
      <c r="E39" s="262"/>
      <c r="F39" s="262"/>
      <c r="G39" s="262"/>
      <c r="H39" s="262"/>
      <c r="I39" s="262"/>
      <c r="J39" s="262"/>
      <c r="K39" s="262"/>
      <c r="L39" s="262"/>
      <c r="M39" s="262"/>
      <c r="N39" s="262"/>
      <c r="O39" s="262"/>
      <c r="P39" s="262"/>
      <c r="Q39" s="262"/>
      <c r="R39" s="262"/>
      <c r="S39" s="262"/>
    </row>
    <row r="40" spans="1:19" ht="13.5">
      <c r="A40" s="260"/>
      <c r="B40" s="261"/>
      <c r="C40" s="261"/>
      <c r="D40" s="261"/>
      <c r="E40" s="262"/>
      <c r="F40" s="262"/>
      <c r="G40" s="262"/>
      <c r="H40" s="262"/>
      <c r="I40" s="262"/>
      <c r="J40" s="262"/>
      <c r="K40" s="262"/>
      <c r="L40" s="262"/>
      <c r="M40" s="262"/>
      <c r="N40" s="262"/>
      <c r="O40" s="262"/>
      <c r="P40" s="262"/>
      <c r="Q40" s="262"/>
      <c r="R40" s="262"/>
      <c r="S40" s="262"/>
    </row>
    <row r="41" spans="1:19" ht="13.5">
      <c r="A41" s="260"/>
      <c r="B41" s="261"/>
      <c r="C41" s="261"/>
      <c r="D41" s="261"/>
      <c r="E41" s="262"/>
      <c r="F41" s="262"/>
      <c r="G41" s="262"/>
      <c r="H41" s="262"/>
      <c r="I41" s="262"/>
      <c r="J41" s="262"/>
      <c r="K41" s="262"/>
      <c r="L41" s="262"/>
      <c r="M41" s="262"/>
      <c r="N41" s="262"/>
      <c r="O41" s="262"/>
      <c r="P41" s="262"/>
      <c r="Q41" s="262"/>
      <c r="R41" s="262"/>
      <c r="S41" s="262"/>
    </row>
    <row r="42" spans="1:19" ht="13.5">
      <c r="A42" s="264"/>
      <c r="B42" s="265"/>
      <c r="C42" s="265"/>
      <c r="D42" s="265"/>
      <c r="E42" s="266"/>
      <c r="F42" s="266"/>
      <c r="G42" s="266"/>
      <c r="H42" s="266"/>
      <c r="I42" s="266"/>
      <c r="J42" s="266"/>
      <c r="K42" s="266"/>
      <c r="L42" s="266"/>
      <c r="M42" s="266"/>
      <c r="N42" s="266"/>
      <c r="O42" s="266"/>
      <c r="P42" s="266"/>
      <c r="Q42" s="266"/>
      <c r="R42" s="266"/>
      <c r="S42" s="266"/>
    </row>
    <row r="43" spans="1:19" ht="13.5">
      <c r="A43" s="247"/>
      <c r="B43" s="247"/>
      <c r="C43" s="247"/>
      <c r="D43" s="247"/>
      <c r="E43" s="247"/>
      <c r="F43" s="247"/>
      <c r="G43" s="247"/>
      <c r="H43" s="247"/>
      <c r="I43" s="247"/>
      <c r="J43" s="247"/>
      <c r="K43" s="247"/>
      <c r="L43" s="247"/>
      <c r="M43" s="247"/>
      <c r="N43" s="247"/>
      <c r="O43" s="247"/>
      <c r="P43" s="247"/>
      <c r="Q43" s="247"/>
      <c r="R43" s="247"/>
      <c r="S43" s="247"/>
    </row>
    <row r="44" spans="1:19" ht="13.5">
      <c r="A44" s="247"/>
      <c r="B44" s="247"/>
      <c r="C44" s="247"/>
      <c r="D44" s="247"/>
      <c r="E44" s="247"/>
      <c r="F44" s="247"/>
      <c r="G44" s="247"/>
      <c r="H44" s="247"/>
      <c r="I44" s="247"/>
      <c r="J44" s="247"/>
      <c r="K44" s="247"/>
      <c r="L44" s="247"/>
      <c r="M44" s="247"/>
      <c r="N44" s="247"/>
      <c r="O44" s="247"/>
      <c r="P44" s="247"/>
      <c r="Q44" s="247"/>
      <c r="R44" s="247"/>
      <c r="S44" s="247"/>
    </row>
  </sheetData>
  <sheetProtection/>
  <mergeCells count="29">
    <mergeCell ref="O2:O3"/>
    <mergeCell ref="A2:A3"/>
    <mergeCell ref="B2:B3"/>
    <mergeCell ref="E2:E3"/>
    <mergeCell ref="F2:J3"/>
    <mergeCell ref="K4:K5"/>
    <mergeCell ref="L4:M5"/>
    <mergeCell ref="F4:J5"/>
    <mergeCell ref="K2:K3"/>
    <mergeCell ref="L2:M3"/>
    <mergeCell ref="N4:N5"/>
    <mergeCell ref="N2:N3"/>
    <mergeCell ref="O4:O5"/>
    <mergeCell ref="A5:A6"/>
    <mergeCell ref="B5:B6"/>
    <mergeCell ref="E6:E7"/>
    <mergeCell ref="K6:K9"/>
    <mergeCell ref="L6:M7"/>
    <mergeCell ref="N6:N7"/>
    <mergeCell ref="O6:O7"/>
    <mergeCell ref="E4:E5"/>
    <mergeCell ref="F6:J7"/>
    <mergeCell ref="A8:A9"/>
    <mergeCell ref="B8:B9"/>
    <mergeCell ref="L8:M9"/>
    <mergeCell ref="E9:F10"/>
    <mergeCell ref="G9:I10"/>
    <mergeCell ref="A10:A11"/>
    <mergeCell ref="B10:B11"/>
  </mergeCells>
  <printOptions/>
  <pageMargins left="0.787" right="0.787" top="0.984" bottom="0.984" header="0.512" footer="0.512"/>
  <pageSetup orientation="portrait" paperSize="9"/>
  <legacyDrawing r:id="rId2"/>
</worksheet>
</file>

<file path=xl/worksheets/sheet6.xml><?xml version="1.0" encoding="utf-8"?>
<worksheet xmlns="http://schemas.openxmlformats.org/spreadsheetml/2006/main" xmlns:r="http://schemas.openxmlformats.org/officeDocument/2006/relationships">
  <dimension ref="A1:S44"/>
  <sheetViews>
    <sheetView zoomScale="80" zoomScaleNormal="80"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L2" sqref="L2:M3"/>
    </sheetView>
  </sheetViews>
  <sheetFormatPr defaultColWidth="9.00390625" defaultRowHeight="13.5"/>
  <cols>
    <col min="1" max="1" width="9.375" style="0" customWidth="1"/>
    <col min="2" max="2" width="21.50390625" style="0" customWidth="1"/>
    <col min="3" max="4" width="4.125" style="0" customWidth="1"/>
    <col min="5" max="5" width="9.75390625" style="0" customWidth="1"/>
    <col min="6" max="6" width="10.625" style="0" customWidth="1"/>
    <col min="7" max="7" width="7.875" style="0" customWidth="1"/>
    <col min="8" max="9" width="6.375" style="0" customWidth="1"/>
    <col min="10" max="10" width="12.125" style="0" customWidth="1"/>
    <col min="11" max="11" width="12.375" style="0" customWidth="1"/>
    <col min="12" max="13" width="10.00390625" style="0" customWidth="1"/>
    <col min="14" max="14" width="9.375" style="0" customWidth="1"/>
    <col min="15" max="15" width="9.625" style="0" customWidth="1"/>
    <col min="16" max="16" width="20.625" style="0" customWidth="1"/>
    <col min="17" max="18" width="12.50390625" style="0" customWidth="1"/>
    <col min="19" max="19" width="25.00390625" style="0" customWidth="1"/>
  </cols>
  <sheetData>
    <row r="1" spans="1:19" ht="6.75" customHeight="1">
      <c r="A1" s="247"/>
      <c r="B1" s="247"/>
      <c r="C1" s="247"/>
      <c r="D1" s="247"/>
      <c r="E1" s="247"/>
      <c r="F1" s="247"/>
      <c r="G1" s="247"/>
      <c r="H1" s="247"/>
      <c r="I1" s="247"/>
      <c r="J1" s="247"/>
      <c r="K1" s="247"/>
      <c r="L1" s="247"/>
      <c r="M1" s="247"/>
      <c r="N1" s="247"/>
      <c r="O1" s="247"/>
      <c r="P1" s="247"/>
      <c r="Q1" s="247"/>
      <c r="R1" s="247"/>
      <c r="S1" s="247"/>
    </row>
    <row r="2" spans="1:19" ht="11.25" customHeight="1">
      <c r="A2" s="1096" t="s">
        <v>377</v>
      </c>
      <c r="B2" s="1097">
        <f>IF('能力'!C72="","",'能力'!C72)</f>
      </c>
      <c r="C2" s="248"/>
      <c r="D2" s="248"/>
      <c r="E2" s="1068" t="s">
        <v>221</v>
      </c>
      <c r="F2" s="1099" t="s">
        <v>222</v>
      </c>
      <c r="G2" s="1100"/>
      <c r="H2" s="1100"/>
      <c r="I2" s="1100"/>
      <c r="J2" s="1101"/>
      <c r="K2" s="1087" t="s">
        <v>223</v>
      </c>
      <c r="L2" s="1079"/>
      <c r="M2" s="1079"/>
      <c r="N2" s="1089" t="s">
        <v>224</v>
      </c>
      <c r="O2" s="1090" t="str">
        <f>25+INT(B5/2)*5&amp;"ｆｔ"</f>
        <v>25ｆｔ</v>
      </c>
      <c r="P2" s="248"/>
      <c r="Q2" s="248"/>
      <c r="R2" s="248"/>
      <c r="S2" s="248"/>
    </row>
    <row r="3" spans="1:19" ht="11.25" customHeight="1">
      <c r="A3" s="1086"/>
      <c r="B3" s="1098"/>
      <c r="C3" s="248"/>
      <c r="D3" s="248"/>
      <c r="E3" s="1068"/>
      <c r="F3" s="1102"/>
      <c r="G3" s="1103"/>
      <c r="H3" s="1103"/>
      <c r="I3" s="1103"/>
      <c r="J3" s="1104"/>
      <c r="K3" s="1087"/>
      <c r="L3" s="1079"/>
      <c r="M3" s="1079"/>
      <c r="N3" s="1089"/>
      <c r="O3" s="1090"/>
      <c r="P3" s="248"/>
      <c r="Q3" s="248"/>
      <c r="R3" s="248"/>
      <c r="S3" s="248"/>
    </row>
    <row r="4" spans="1:19" ht="11.25" customHeight="1">
      <c r="A4" s="249"/>
      <c r="B4" s="250"/>
      <c r="C4" s="248"/>
      <c r="D4" s="248"/>
      <c r="E4" s="1068" t="s">
        <v>480</v>
      </c>
      <c r="F4" s="1069">
        <f>CONCATENATE(IF('能力'!S73="","",'能力'!S73),IF('能力'!U73="","",CONCATENATE("/ ",'能力'!U73)),IF('能力'!W73="","",CONCATENATE("/ ",'能力'!W73)),IF('能力'!Y73="","",CONCATENATE("/ ",'能力'!Y73)),IF('能力'!AA73="","",CONCATENATE("/ ",'能力'!AA73)),IF('能力'!AC73="","",CONCATENATE("/ ",'能力'!AC73)),IF('能力'!AE73="","",CONCATENATE("/ ",'能力'!AE73)),IF('能力'!AG73="","",CONCATENATE("/ ",'能力'!AG73)),IF('能力'!AI73="","",CONCATENATE("/ ",'能力'!AI73)),IF('能力'!AK73="","",CONCATENATE("/ ",'能力'!AK73)))</f>
      </c>
      <c r="G4" s="1070"/>
      <c r="H4" s="1070"/>
      <c r="I4" s="1070"/>
      <c r="J4" s="1071"/>
      <c r="K4" s="1087" t="s">
        <v>225</v>
      </c>
      <c r="L4" s="1079"/>
      <c r="M4" s="1079"/>
      <c r="N4" s="1089" t="s">
        <v>226</v>
      </c>
      <c r="O4" s="1090" t="str">
        <f>100+B5*10&amp;"ｆｔ"</f>
        <v>100ｆｔ</v>
      </c>
      <c r="P4" s="248"/>
      <c r="Q4" s="248"/>
      <c r="R4" s="248"/>
      <c r="S4" s="248"/>
    </row>
    <row r="5" spans="1:19" ht="11.25" customHeight="1">
      <c r="A5" s="1091" t="s">
        <v>477</v>
      </c>
      <c r="B5" s="1092">
        <f>'能力'!L72</f>
        <v>0</v>
      </c>
      <c r="C5" s="248"/>
      <c r="D5" s="248"/>
      <c r="E5" s="1068"/>
      <c r="F5" s="1072"/>
      <c r="G5" s="1073"/>
      <c r="H5" s="1073"/>
      <c r="I5" s="1073"/>
      <c r="J5" s="1074"/>
      <c r="K5" s="1087"/>
      <c r="L5" s="1079"/>
      <c r="M5" s="1079"/>
      <c r="N5" s="1089"/>
      <c r="O5" s="1090"/>
      <c r="P5" s="248"/>
      <c r="Q5" s="248"/>
      <c r="R5" s="248"/>
      <c r="S5" s="248"/>
    </row>
    <row r="6" spans="1:19" ht="11.25" customHeight="1">
      <c r="A6" s="1091"/>
      <c r="B6" s="1092"/>
      <c r="C6" s="248"/>
      <c r="D6" s="248"/>
      <c r="E6" s="1068" t="s">
        <v>482</v>
      </c>
      <c r="F6" s="1069">
        <f>CONCATENATE(IF('能力'!S74="","",'能力'!S74),IF('能力'!U74="","",CONCATENATE("/ ",'能力'!U74)),IF('能力'!W74="","",CONCATENATE("/ ",'能力'!W74)),IF('能力'!Y74="","",CONCATENATE("/ ",'能力'!Y74)),IF('能力'!AA74="","",CONCATENATE("/ ",'能力'!AA74)),IF('能力'!AC74="","",CONCATENATE("/ ",'能力'!AC74)),IF('能力'!AE74="","",CONCATENATE("/ ",'能力'!AE74)),IF('能力'!AG74="","",CONCATENATE("/ ",'能力'!AG74)),IF('能力'!AI74="","",CONCATENATE("/ ",'能力'!AI74)),IF('能力'!AK74="","",CONCATENATE("/ ",'能力'!AK74)))</f>
      </c>
      <c r="G6" s="1070"/>
      <c r="H6" s="1070"/>
      <c r="I6" s="1070"/>
      <c r="J6" s="1071"/>
      <c r="K6" s="1093" t="s">
        <v>227</v>
      </c>
      <c r="L6" s="1078"/>
      <c r="M6" s="1079"/>
      <c r="N6" s="1089" t="s">
        <v>228</v>
      </c>
      <c r="O6" s="1090" t="str">
        <f>400+B5*20&amp;"ｆｔ"</f>
        <v>400ｆｔ</v>
      </c>
      <c r="P6" s="248"/>
      <c r="Q6" s="248"/>
      <c r="R6" s="248"/>
      <c r="S6" s="248"/>
    </row>
    <row r="7" spans="1:19" ht="11.25" customHeight="1">
      <c r="A7" s="251"/>
      <c r="B7" s="252"/>
      <c r="C7" s="248"/>
      <c r="D7" s="248"/>
      <c r="E7" s="1068"/>
      <c r="F7" s="1072"/>
      <c r="G7" s="1073"/>
      <c r="H7" s="1073"/>
      <c r="I7" s="1073"/>
      <c r="J7" s="1074"/>
      <c r="K7" s="1094"/>
      <c r="L7" s="1078"/>
      <c r="M7" s="1079"/>
      <c r="N7" s="1089"/>
      <c r="O7" s="1090"/>
      <c r="P7" s="248"/>
      <c r="Q7" s="248"/>
      <c r="R7" s="248"/>
      <c r="S7" s="248"/>
    </row>
    <row r="8" spans="1:19" ht="11.25" customHeight="1">
      <c r="A8" s="1075" t="str">
        <f>IF('能力'!J69=7,"【対応能力値】",INDEX('能力'!BU21:BU27,'能力'!J69))</f>
        <v>【対応能力値】</v>
      </c>
      <c r="B8" s="1077" t="str">
        <f>IF('能力'!J73=7,"―",INDEX('能力'!I18:I23,'能力'!J73))</f>
        <v>―</v>
      </c>
      <c r="C8" s="248"/>
      <c r="D8" s="248"/>
      <c r="E8" s="250"/>
      <c r="F8" s="250"/>
      <c r="G8" s="250"/>
      <c r="H8" s="250"/>
      <c r="I8" s="250"/>
      <c r="K8" s="1094"/>
      <c r="L8" s="1078"/>
      <c r="M8" s="1079"/>
      <c r="N8" s="248"/>
      <c r="O8" s="248"/>
      <c r="P8" s="248"/>
      <c r="Q8" s="248"/>
      <c r="R8" s="248"/>
      <c r="S8" s="248"/>
    </row>
    <row r="9" spans="1:19" ht="11.25" customHeight="1">
      <c r="A9" s="1076"/>
      <c r="B9" s="1077"/>
      <c r="C9" s="248"/>
      <c r="D9" s="248"/>
      <c r="E9" s="1080" t="s">
        <v>180</v>
      </c>
      <c r="F9" s="1081"/>
      <c r="G9" s="1084">
        <f>'能力'!AW84</f>
        <v>0</v>
      </c>
      <c r="H9" s="1084"/>
      <c r="I9" s="1084"/>
      <c r="K9" s="1095"/>
      <c r="L9" s="1078"/>
      <c r="M9" s="1079"/>
      <c r="N9" s="248"/>
      <c r="O9" s="248"/>
      <c r="P9" s="248"/>
      <c r="Q9" s="248"/>
      <c r="R9" s="248"/>
      <c r="S9" s="248"/>
    </row>
    <row r="10" spans="1:19" ht="11.25" customHeight="1">
      <c r="A10" s="1086" t="s">
        <v>229</v>
      </c>
      <c r="B10" s="1105">
        <f>IF('能力'!J73=7,"",INT((B8-10)/2))</f>
      </c>
      <c r="C10" s="248"/>
      <c r="D10" s="248"/>
      <c r="E10" s="1082"/>
      <c r="F10" s="1083"/>
      <c r="G10" s="1084"/>
      <c r="H10" s="1084"/>
      <c r="I10" s="1084"/>
      <c r="J10" s="253"/>
      <c r="K10" s="248"/>
      <c r="L10" s="248"/>
      <c r="M10" s="248"/>
      <c r="N10" s="248"/>
      <c r="O10" s="248"/>
      <c r="P10" s="248"/>
      <c r="Q10" s="248"/>
      <c r="R10" s="248"/>
      <c r="S10" s="248"/>
    </row>
    <row r="11" spans="1:19" ht="11.25" customHeight="1">
      <c r="A11" s="1087"/>
      <c r="B11" s="1106"/>
      <c r="C11" s="248"/>
      <c r="D11" s="248"/>
      <c r="E11" s="254"/>
      <c r="F11" s="255"/>
      <c r="G11" s="248"/>
      <c r="H11" s="248"/>
      <c r="I11" s="248"/>
      <c r="J11" s="253"/>
      <c r="K11" s="248"/>
      <c r="L11" s="248"/>
      <c r="M11" s="248"/>
      <c r="N11" s="248"/>
      <c r="O11" s="248"/>
      <c r="P11" s="248"/>
      <c r="Q11" s="248"/>
      <c r="R11" s="248"/>
      <c r="S11" s="248"/>
    </row>
    <row r="12" spans="1:19" ht="11.25" customHeight="1">
      <c r="A12" s="253"/>
      <c r="B12" s="253"/>
      <c r="C12" s="253"/>
      <c r="D12" s="253"/>
      <c r="E12" s="248"/>
      <c r="F12" s="253"/>
      <c r="G12" s="248"/>
      <c r="H12" s="248"/>
      <c r="I12" s="248"/>
      <c r="J12" s="253"/>
      <c r="K12" s="253"/>
      <c r="L12" s="253"/>
      <c r="M12" s="248"/>
      <c r="N12" s="248"/>
      <c r="O12" s="248"/>
      <c r="P12" s="248"/>
      <c r="Q12" s="248"/>
      <c r="R12" s="248"/>
      <c r="S12" s="248"/>
    </row>
    <row r="13" spans="1:19" ht="13.5">
      <c r="A13" s="256" t="s">
        <v>230</v>
      </c>
      <c r="B13" s="257" t="s">
        <v>231</v>
      </c>
      <c r="C13" s="257" t="s">
        <v>41</v>
      </c>
      <c r="D13" s="257" t="s">
        <v>39</v>
      </c>
      <c r="E13" s="257" t="s">
        <v>232</v>
      </c>
      <c r="F13" s="257" t="s">
        <v>233</v>
      </c>
      <c r="G13" s="257" t="s">
        <v>234</v>
      </c>
      <c r="H13" s="257" t="s">
        <v>43</v>
      </c>
      <c r="I13" s="257" t="s">
        <v>57</v>
      </c>
      <c r="J13" s="257" t="s">
        <v>235</v>
      </c>
      <c r="K13" s="257" t="s">
        <v>236</v>
      </c>
      <c r="L13" s="257" t="s">
        <v>237</v>
      </c>
      <c r="M13" s="258" t="s">
        <v>238</v>
      </c>
      <c r="N13" s="258" t="s">
        <v>239</v>
      </c>
      <c r="O13" s="258" t="s">
        <v>240</v>
      </c>
      <c r="P13" s="258" t="s">
        <v>241</v>
      </c>
      <c r="Q13" s="258" t="s">
        <v>242</v>
      </c>
      <c r="R13" s="258" t="s">
        <v>243</v>
      </c>
      <c r="S13" s="259" t="s">
        <v>244</v>
      </c>
    </row>
    <row r="14" spans="1:19" ht="13.5">
      <c r="A14" s="260"/>
      <c r="B14" s="261"/>
      <c r="C14" s="261"/>
      <c r="D14" s="261"/>
      <c r="E14" s="262"/>
      <c r="F14" s="262"/>
      <c r="G14" s="262"/>
      <c r="H14" s="262"/>
      <c r="I14" s="262"/>
      <c r="J14" s="262"/>
      <c r="K14" s="262"/>
      <c r="L14" s="262"/>
      <c r="M14" s="262"/>
      <c r="N14" s="262"/>
      <c r="O14" s="262"/>
      <c r="P14" s="262"/>
      <c r="Q14" s="262"/>
      <c r="R14" s="262"/>
      <c r="S14" s="262"/>
    </row>
    <row r="15" spans="1:19" ht="13.5">
      <c r="A15" s="260"/>
      <c r="B15" s="261"/>
      <c r="C15" s="261"/>
      <c r="D15" s="261"/>
      <c r="E15" s="262"/>
      <c r="F15" s="262"/>
      <c r="G15" s="262"/>
      <c r="H15" s="262"/>
      <c r="I15" s="262"/>
      <c r="J15" s="262"/>
      <c r="K15" s="262"/>
      <c r="L15" s="262"/>
      <c r="M15" s="262"/>
      <c r="N15" s="262"/>
      <c r="O15" s="262"/>
      <c r="P15" s="262"/>
      <c r="Q15" s="262"/>
      <c r="R15" s="262"/>
      <c r="S15" s="262"/>
    </row>
    <row r="16" spans="1:19" ht="13.5">
      <c r="A16" s="260"/>
      <c r="B16" s="261"/>
      <c r="C16" s="261"/>
      <c r="D16" s="261"/>
      <c r="E16" s="262"/>
      <c r="F16" s="262"/>
      <c r="G16" s="262"/>
      <c r="H16" s="262"/>
      <c r="I16" s="262"/>
      <c r="J16" s="262"/>
      <c r="K16" s="262"/>
      <c r="L16" s="262"/>
      <c r="M16" s="262"/>
      <c r="N16" s="262"/>
      <c r="O16" s="262"/>
      <c r="P16" s="262"/>
      <c r="Q16" s="262"/>
      <c r="R16" s="262"/>
      <c r="S16" s="262"/>
    </row>
    <row r="17" spans="1:19" ht="13.5">
      <c r="A17" s="260"/>
      <c r="B17" s="261"/>
      <c r="C17" s="261"/>
      <c r="D17" s="261"/>
      <c r="E17" s="262"/>
      <c r="F17" s="262"/>
      <c r="G17" s="262"/>
      <c r="H17" s="262"/>
      <c r="I17" s="262"/>
      <c r="J17" s="262"/>
      <c r="K17" s="262"/>
      <c r="L17" s="262"/>
      <c r="M17" s="262"/>
      <c r="N17" s="262"/>
      <c r="O17" s="262"/>
      <c r="P17" s="262"/>
      <c r="Q17" s="262"/>
      <c r="R17" s="262"/>
      <c r="S17" s="262"/>
    </row>
    <row r="18" spans="1:19" ht="13.5">
      <c r="A18" s="260"/>
      <c r="B18" s="261"/>
      <c r="C18" s="261"/>
      <c r="D18" s="261"/>
      <c r="E18" s="262"/>
      <c r="F18" s="262"/>
      <c r="G18" s="262"/>
      <c r="H18" s="262"/>
      <c r="I18" s="262"/>
      <c r="J18" s="262"/>
      <c r="K18" s="262"/>
      <c r="L18" s="262"/>
      <c r="M18" s="262"/>
      <c r="N18" s="262"/>
      <c r="O18" s="262"/>
      <c r="P18" s="262"/>
      <c r="Q18" s="262"/>
      <c r="R18" s="262"/>
      <c r="S18" s="262"/>
    </row>
    <row r="19" spans="1:19" ht="13.5">
      <c r="A19" s="260"/>
      <c r="B19" s="261"/>
      <c r="C19" s="261"/>
      <c r="D19" s="261"/>
      <c r="E19" s="262"/>
      <c r="F19" s="262"/>
      <c r="G19" s="262"/>
      <c r="H19" s="262"/>
      <c r="I19" s="262"/>
      <c r="J19" s="262"/>
      <c r="K19" s="262"/>
      <c r="L19" s="262"/>
      <c r="M19" s="262"/>
      <c r="N19" s="262"/>
      <c r="O19" s="262"/>
      <c r="P19" s="262"/>
      <c r="Q19" s="262"/>
      <c r="R19" s="262"/>
      <c r="S19" s="262"/>
    </row>
    <row r="20" spans="1:19" ht="13.5">
      <c r="A20" s="260"/>
      <c r="B20" s="261"/>
      <c r="C20" s="261"/>
      <c r="D20" s="261"/>
      <c r="E20" s="262"/>
      <c r="F20" s="262"/>
      <c r="G20" s="262"/>
      <c r="H20" s="262"/>
      <c r="I20" s="262"/>
      <c r="J20" s="262"/>
      <c r="K20" s="262"/>
      <c r="L20" s="262"/>
      <c r="M20" s="262"/>
      <c r="N20" s="262"/>
      <c r="O20" s="262"/>
      <c r="P20" s="262"/>
      <c r="Q20" s="262"/>
      <c r="R20" s="262"/>
      <c r="S20" s="262"/>
    </row>
    <row r="21" spans="1:19" ht="13.5">
      <c r="A21" s="260"/>
      <c r="B21" s="261"/>
      <c r="C21" s="261"/>
      <c r="D21" s="261"/>
      <c r="E21" s="262"/>
      <c r="F21" s="262"/>
      <c r="G21" s="262"/>
      <c r="H21" s="262"/>
      <c r="I21" s="262"/>
      <c r="J21" s="262"/>
      <c r="K21" s="262"/>
      <c r="L21" s="262"/>
      <c r="M21" s="262"/>
      <c r="N21" s="262"/>
      <c r="O21" s="262"/>
      <c r="P21" s="262"/>
      <c r="Q21" s="262"/>
      <c r="R21" s="262"/>
      <c r="S21" s="262"/>
    </row>
    <row r="22" spans="1:19" ht="13.5">
      <c r="A22" s="260"/>
      <c r="B22" s="261"/>
      <c r="C22" s="261"/>
      <c r="D22" s="261"/>
      <c r="E22" s="262"/>
      <c r="F22" s="262"/>
      <c r="G22" s="262"/>
      <c r="H22" s="262"/>
      <c r="I22" s="262"/>
      <c r="J22" s="262"/>
      <c r="K22" s="262"/>
      <c r="L22" s="262"/>
      <c r="M22" s="262"/>
      <c r="N22" s="262"/>
      <c r="O22" s="262"/>
      <c r="P22" s="262"/>
      <c r="Q22" s="262"/>
      <c r="R22" s="262"/>
      <c r="S22" s="262"/>
    </row>
    <row r="23" spans="1:19" ht="13.5">
      <c r="A23" s="260"/>
      <c r="B23" s="261"/>
      <c r="C23" s="261"/>
      <c r="D23" s="261"/>
      <c r="E23" s="262"/>
      <c r="F23" s="263"/>
      <c r="G23" s="262"/>
      <c r="H23" s="262"/>
      <c r="I23" s="262"/>
      <c r="J23" s="262"/>
      <c r="K23" s="262"/>
      <c r="L23" s="262"/>
      <c r="M23" s="262"/>
      <c r="N23" s="262"/>
      <c r="O23" s="262"/>
      <c r="P23" s="262"/>
      <c r="Q23" s="262"/>
      <c r="R23" s="262"/>
      <c r="S23" s="262"/>
    </row>
    <row r="24" spans="1:19" ht="13.5">
      <c r="A24" s="260"/>
      <c r="B24" s="261"/>
      <c r="C24" s="261"/>
      <c r="D24" s="261"/>
      <c r="E24" s="262"/>
      <c r="F24" s="262"/>
      <c r="G24" s="262"/>
      <c r="H24" s="262"/>
      <c r="I24" s="262"/>
      <c r="J24" s="262"/>
      <c r="K24" s="262"/>
      <c r="L24" s="262"/>
      <c r="M24" s="262"/>
      <c r="N24" s="262"/>
      <c r="O24" s="262"/>
      <c r="P24" s="262"/>
      <c r="Q24" s="262"/>
      <c r="R24" s="262"/>
      <c r="S24" s="262"/>
    </row>
    <row r="25" spans="1:19" ht="13.5">
      <c r="A25" s="260"/>
      <c r="B25" s="261"/>
      <c r="C25" s="261"/>
      <c r="D25" s="261"/>
      <c r="E25" s="262"/>
      <c r="F25" s="262"/>
      <c r="G25" s="262"/>
      <c r="H25" s="262"/>
      <c r="I25" s="262"/>
      <c r="J25" s="262"/>
      <c r="K25" s="262"/>
      <c r="L25" s="262"/>
      <c r="M25" s="262"/>
      <c r="N25" s="262"/>
      <c r="O25" s="262"/>
      <c r="P25" s="262"/>
      <c r="Q25" s="262"/>
      <c r="R25" s="262"/>
      <c r="S25" s="262"/>
    </row>
    <row r="26" spans="1:19" ht="13.5">
      <c r="A26" s="260"/>
      <c r="B26" s="261"/>
      <c r="C26" s="261"/>
      <c r="D26" s="261"/>
      <c r="E26" s="262"/>
      <c r="F26" s="262"/>
      <c r="G26" s="262"/>
      <c r="H26" s="262"/>
      <c r="I26" s="262"/>
      <c r="J26" s="262"/>
      <c r="K26" s="262"/>
      <c r="L26" s="262"/>
      <c r="M26" s="262"/>
      <c r="N26" s="262"/>
      <c r="O26" s="262"/>
      <c r="P26" s="262"/>
      <c r="Q26" s="262"/>
      <c r="R26" s="262"/>
      <c r="S26" s="262"/>
    </row>
    <row r="27" spans="1:19" ht="13.5">
      <c r="A27" s="260"/>
      <c r="B27" s="261"/>
      <c r="C27" s="261"/>
      <c r="D27" s="261"/>
      <c r="E27" s="262"/>
      <c r="F27" s="262"/>
      <c r="G27" s="262"/>
      <c r="H27" s="262"/>
      <c r="I27" s="262"/>
      <c r="J27" s="262"/>
      <c r="K27" s="262"/>
      <c r="L27" s="262"/>
      <c r="M27" s="262"/>
      <c r="N27" s="262"/>
      <c r="O27" s="262"/>
      <c r="P27" s="262"/>
      <c r="Q27" s="262"/>
      <c r="R27" s="262"/>
      <c r="S27" s="262"/>
    </row>
    <row r="28" spans="1:19" ht="13.5">
      <c r="A28" s="260"/>
      <c r="B28" s="261"/>
      <c r="C28" s="261"/>
      <c r="D28" s="261"/>
      <c r="E28" s="262"/>
      <c r="F28" s="262"/>
      <c r="G28" s="262"/>
      <c r="H28" s="262"/>
      <c r="I28" s="262"/>
      <c r="J28" s="262"/>
      <c r="K28" s="262"/>
      <c r="L28" s="262"/>
      <c r="M28" s="262"/>
      <c r="N28" s="262"/>
      <c r="O28" s="262"/>
      <c r="P28" s="262"/>
      <c r="Q28" s="262"/>
      <c r="R28" s="262"/>
      <c r="S28" s="262"/>
    </row>
    <row r="29" spans="1:19" ht="13.5">
      <c r="A29" s="260"/>
      <c r="B29" s="261"/>
      <c r="C29" s="261"/>
      <c r="D29" s="261"/>
      <c r="E29" s="262"/>
      <c r="F29" s="262"/>
      <c r="G29" s="262"/>
      <c r="H29" s="262"/>
      <c r="I29" s="262"/>
      <c r="J29" s="262"/>
      <c r="K29" s="262"/>
      <c r="L29" s="262"/>
      <c r="M29" s="262"/>
      <c r="N29" s="262"/>
      <c r="O29" s="262"/>
      <c r="P29" s="262"/>
      <c r="Q29" s="262"/>
      <c r="R29" s="262"/>
      <c r="S29" s="262"/>
    </row>
    <row r="30" spans="1:19" ht="13.5">
      <c r="A30" s="260"/>
      <c r="B30" s="261"/>
      <c r="C30" s="261"/>
      <c r="D30" s="261"/>
      <c r="E30" s="262"/>
      <c r="F30" s="262"/>
      <c r="G30" s="262"/>
      <c r="H30" s="262"/>
      <c r="I30" s="262"/>
      <c r="J30" s="262"/>
      <c r="K30" s="262"/>
      <c r="L30" s="262"/>
      <c r="M30" s="262"/>
      <c r="N30" s="262"/>
      <c r="O30" s="262"/>
      <c r="P30" s="262"/>
      <c r="Q30" s="262"/>
      <c r="R30" s="262"/>
      <c r="S30" s="262"/>
    </row>
    <row r="31" spans="1:19" ht="13.5">
      <c r="A31" s="260"/>
      <c r="B31" s="261"/>
      <c r="C31" s="261"/>
      <c r="D31" s="261"/>
      <c r="E31" s="262"/>
      <c r="F31" s="262"/>
      <c r="G31" s="262"/>
      <c r="H31" s="262"/>
      <c r="I31" s="262"/>
      <c r="J31" s="262"/>
      <c r="K31" s="262"/>
      <c r="L31" s="262"/>
      <c r="M31" s="262"/>
      <c r="N31" s="262"/>
      <c r="O31" s="262"/>
      <c r="P31" s="262"/>
      <c r="Q31" s="262"/>
      <c r="R31" s="262"/>
      <c r="S31" s="262"/>
    </row>
    <row r="32" spans="1:19" ht="13.5">
      <c r="A32" s="260"/>
      <c r="B32" s="261"/>
      <c r="C32" s="261"/>
      <c r="D32" s="261"/>
      <c r="E32" s="262"/>
      <c r="F32" s="262"/>
      <c r="G32" s="262"/>
      <c r="H32" s="262"/>
      <c r="I32" s="262"/>
      <c r="J32" s="262"/>
      <c r="K32" s="262"/>
      <c r="L32" s="262"/>
      <c r="M32" s="262"/>
      <c r="N32" s="262"/>
      <c r="O32" s="262"/>
      <c r="P32" s="262"/>
      <c r="Q32" s="262"/>
      <c r="R32" s="262"/>
      <c r="S32" s="262"/>
    </row>
    <row r="33" spans="1:19" ht="13.5">
      <c r="A33" s="260"/>
      <c r="B33" s="261"/>
      <c r="C33" s="261"/>
      <c r="D33" s="261"/>
      <c r="E33" s="262"/>
      <c r="F33" s="262"/>
      <c r="G33" s="262"/>
      <c r="H33" s="262"/>
      <c r="I33" s="262"/>
      <c r="J33" s="262"/>
      <c r="K33" s="262"/>
      <c r="L33" s="262"/>
      <c r="M33" s="262"/>
      <c r="N33" s="262"/>
      <c r="O33" s="262"/>
      <c r="P33" s="262"/>
      <c r="Q33" s="262"/>
      <c r="R33" s="262"/>
      <c r="S33" s="262"/>
    </row>
    <row r="34" spans="1:19" ht="13.5">
      <c r="A34" s="260"/>
      <c r="B34" s="261"/>
      <c r="C34" s="261"/>
      <c r="D34" s="261"/>
      <c r="E34" s="262"/>
      <c r="F34" s="262"/>
      <c r="G34" s="262"/>
      <c r="H34" s="262"/>
      <c r="I34" s="262"/>
      <c r="J34" s="262"/>
      <c r="K34" s="262"/>
      <c r="L34" s="262"/>
      <c r="M34" s="262"/>
      <c r="N34" s="262"/>
      <c r="O34" s="262"/>
      <c r="P34" s="262"/>
      <c r="Q34" s="262"/>
      <c r="R34" s="262"/>
      <c r="S34" s="262"/>
    </row>
    <row r="35" spans="1:19" ht="13.5">
      <c r="A35" s="260"/>
      <c r="B35" s="261"/>
      <c r="C35" s="261"/>
      <c r="D35" s="261"/>
      <c r="E35" s="262"/>
      <c r="F35" s="262"/>
      <c r="G35" s="262"/>
      <c r="H35" s="262"/>
      <c r="I35" s="262"/>
      <c r="J35" s="262"/>
      <c r="K35" s="262"/>
      <c r="L35" s="262"/>
      <c r="M35" s="262"/>
      <c r="N35" s="262"/>
      <c r="O35" s="262"/>
      <c r="P35" s="262"/>
      <c r="Q35" s="262"/>
      <c r="R35" s="262"/>
      <c r="S35" s="262"/>
    </row>
    <row r="36" spans="1:19" ht="13.5">
      <c r="A36" s="260"/>
      <c r="B36" s="261"/>
      <c r="C36" s="261"/>
      <c r="D36" s="261"/>
      <c r="E36" s="262"/>
      <c r="F36" s="262"/>
      <c r="G36" s="262"/>
      <c r="H36" s="262"/>
      <c r="I36" s="262"/>
      <c r="J36" s="262"/>
      <c r="K36" s="262"/>
      <c r="L36" s="262"/>
      <c r="M36" s="262"/>
      <c r="N36" s="262"/>
      <c r="O36" s="262"/>
      <c r="P36" s="262"/>
      <c r="Q36" s="262"/>
      <c r="R36" s="262"/>
      <c r="S36" s="262"/>
    </row>
    <row r="37" spans="1:19" ht="13.5">
      <c r="A37" s="260"/>
      <c r="B37" s="261"/>
      <c r="C37" s="261"/>
      <c r="D37" s="261"/>
      <c r="E37" s="262"/>
      <c r="F37" s="262"/>
      <c r="G37" s="262"/>
      <c r="H37" s="262"/>
      <c r="I37" s="262"/>
      <c r="J37" s="262"/>
      <c r="K37" s="262"/>
      <c r="L37" s="262"/>
      <c r="M37" s="262"/>
      <c r="N37" s="262"/>
      <c r="O37" s="262"/>
      <c r="P37" s="262"/>
      <c r="Q37" s="262"/>
      <c r="R37" s="262"/>
      <c r="S37" s="262"/>
    </row>
    <row r="38" spans="1:19" ht="13.5">
      <c r="A38" s="260"/>
      <c r="B38" s="261"/>
      <c r="C38" s="261"/>
      <c r="D38" s="261"/>
      <c r="E38" s="262"/>
      <c r="F38" s="262"/>
      <c r="G38" s="262"/>
      <c r="H38" s="262"/>
      <c r="I38" s="262"/>
      <c r="J38" s="262"/>
      <c r="K38" s="262"/>
      <c r="L38" s="262"/>
      <c r="M38" s="262"/>
      <c r="N38" s="262"/>
      <c r="O38" s="262"/>
      <c r="P38" s="262"/>
      <c r="Q38" s="262"/>
      <c r="R38" s="262"/>
      <c r="S38" s="262"/>
    </row>
    <row r="39" spans="1:19" ht="13.5">
      <c r="A39" s="260"/>
      <c r="B39" s="261"/>
      <c r="C39" s="261"/>
      <c r="D39" s="261"/>
      <c r="E39" s="262"/>
      <c r="F39" s="262"/>
      <c r="G39" s="262"/>
      <c r="H39" s="262"/>
      <c r="I39" s="262"/>
      <c r="J39" s="262"/>
      <c r="K39" s="262"/>
      <c r="L39" s="262"/>
      <c r="M39" s="262"/>
      <c r="N39" s="262"/>
      <c r="O39" s="262"/>
      <c r="P39" s="262"/>
      <c r="Q39" s="262"/>
      <c r="R39" s="262"/>
      <c r="S39" s="262"/>
    </row>
    <row r="40" spans="1:19" ht="13.5">
      <c r="A40" s="260"/>
      <c r="B40" s="261"/>
      <c r="C40" s="261"/>
      <c r="D40" s="261"/>
      <c r="E40" s="262"/>
      <c r="F40" s="262"/>
      <c r="G40" s="262"/>
      <c r="H40" s="262"/>
      <c r="I40" s="262"/>
      <c r="J40" s="262"/>
      <c r="K40" s="262"/>
      <c r="L40" s="262"/>
      <c r="M40" s="262"/>
      <c r="N40" s="262"/>
      <c r="O40" s="262"/>
      <c r="P40" s="262"/>
      <c r="Q40" s="262"/>
      <c r="R40" s="262"/>
      <c r="S40" s="262"/>
    </row>
    <row r="41" spans="1:19" ht="13.5">
      <c r="A41" s="260"/>
      <c r="B41" s="261"/>
      <c r="C41" s="261"/>
      <c r="D41" s="261"/>
      <c r="E41" s="262"/>
      <c r="F41" s="262"/>
      <c r="G41" s="262"/>
      <c r="H41" s="262"/>
      <c r="I41" s="262"/>
      <c r="J41" s="262"/>
      <c r="K41" s="262"/>
      <c r="L41" s="262"/>
      <c r="M41" s="262"/>
      <c r="N41" s="262"/>
      <c r="O41" s="262"/>
      <c r="P41" s="262"/>
      <c r="Q41" s="262"/>
      <c r="R41" s="262"/>
      <c r="S41" s="262"/>
    </row>
    <row r="42" spans="1:19" ht="13.5">
      <c r="A42" s="264"/>
      <c r="B42" s="265"/>
      <c r="C42" s="265"/>
      <c r="D42" s="265"/>
      <c r="E42" s="266"/>
      <c r="F42" s="266"/>
      <c r="G42" s="266"/>
      <c r="H42" s="266"/>
      <c r="I42" s="266"/>
      <c r="J42" s="266"/>
      <c r="K42" s="266"/>
      <c r="L42" s="266"/>
      <c r="M42" s="266"/>
      <c r="N42" s="266"/>
      <c r="O42" s="266"/>
      <c r="P42" s="266"/>
      <c r="Q42" s="266"/>
      <c r="R42" s="266"/>
      <c r="S42" s="266"/>
    </row>
    <row r="43" spans="1:19" ht="13.5">
      <c r="A43" s="247"/>
      <c r="B43" s="247"/>
      <c r="C43" s="247"/>
      <c r="D43" s="247"/>
      <c r="E43" s="247"/>
      <c r="F43" s="247"/>
      <c r="G43" s="247"/>
      <c r="H43" s="247"/>
      <c r="I43" s="247"/>
      <c r="J43" s="247"/>
      <c r="K43" s="247"/>
      <c r="L43" s="247"/>
      <c r="M43" s="247"/>
      <c r="N43" s="247"/>
      <c r="O43" s="247"/>
      <c r="P43" s="247"/>
      <c r="Q43" s="247"/>
      <c r="R43" s="247"/>
      <c r="S43" s="247"/>
    </row>
    <row r="44" spans="1:19" ht="13.5">
      <c r="A44" s="247"/>
      <c r="B44" s="247"/>
      <c r="C44" s="247"/>
      <c r="D44" s="247"/>
      <c r="E44" s="247"/>
      <c r="F44" s="247"/>
      <c r="G44" s="247"/>
      <c r="H44" s="247"/>
      <c r="I44" s="247"/>
      <c r="J44" s="247"/>
      <c r="K44" s="247"/>
      <c r="L44" s="247"/>
      <c r="M44" s="247"/>
      <c r="N44" s="247"/>
      <c r="O44" s="247"/>
      <c r="P44" s="247"/>
      <c r="Q44" s="247"/>
      <c r="R44" s="247"/>
      <c r="S44" s="247"/>
    </row>
  </sheetData>
  <sheetProtection/>
  <mergeCells count="29">
    <mergeCell ref="A8:A9"/>
    <mergeCell ref="B8:B9"/>
    <mergeCell ref="L8:M9"/>
    <mergeCell ref="E9:F10"/>
    <mergeCell ref="G9:I10"/>
    <mergeCell ref="A10:A11"/>
    <mergeCell ref="B10:B11"/>
    <mergeCell ref="K6:K9"/>
    <mergeCell ref="L6:M7"/>
    <mergeCell ref="F6:J7"/>
    <mergeCell ref="N6:N7"/>
    <mergeCell ref="O6:O7"/>
    <mergeCell ref="K4:K5"/>
    <mergeCell ref="L4:M5"/>
    <mergeCell ref="N4:N5"/>
    <mergeCell ref="O4:O5"/>
    <mergeCell ref="K2:K3"/>
    <mergeCell ref="L2:M3"/>
    <mergeCell ref="N2:N3"/>
    <mergeCell ref="O2:O3"/>
    <mergeCell ref="F4:J5"/>
    <mergeCell ref="F2:J3"/>
    <mergeCell ref="A2:A3"/>
    <mergeCell ref="B2:B3"/>
    <mergeCell ref="E2:E3"/>
    <mergeCell ref="E4:E5"/>
    <mergeCell ref="A5:A6"/>
    <mergeCell ref="B5:B6"/>
    <mergeCell ref="E6:E7"/>
  </mergeCells>
  <printOptions/>
  <pageMargins left="0.787" right="0.787" top="0.984" bottom="0.984" header="0.512" footer="0.512"/>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A1:S80"/>
  <sheetViews>
    <sheetView zoomScale="80" zoomScaleNormal="80" zoomScalePageLayoutView="0" workbookViewId="0" topLeftCell="A1">
      <pane xSplit="2" ySplit="17" topLeftCell="C18" activePane="bottomRight" state="frozen"/>
      <selection pane="topLeft" activeCell="A1" sqref="A1"/>
      <selection pane="topRight" activeCell="C1" sqref="C1"/>
      <selection pane="bottomLeft" activeCell="A18" sqref="A18"/>
      <selection pane="bottomRight" activeCell="F13" sqref="F13:F14"/>
    </sheetView>
  </sheetViews>
  <sheetFormatPr defaultColWidth="9.00390625" defaultRowHeight="13.5"/>
  <cols>
    <col min="1" max="1" width="9.375" style="0" customWidth="1"/>
    <col min="2" max="2" width="21.50390625" style="0" customWidth="1"/>
    <col min="3" max="4" width="4.25390625" style="0" customWidth="1"/>
    <col min="5" max="5" width="16.25390625" style="0" customWidth="1"/>
    <col min="6" max="6" width="7.75390625" style="0" customWidth="1"/>
    <col min="7" max="7" width="11.50390625" style="0" customWidth="1"/>
    <col min="8" max="9" width="6.125" style="0" customWidth="1"/>
    <col min="10" max="10" width="12.125" style="0" customWidth="1"/>
    <col min="11" max="11" width="12.375" style="0" customWidth="1"/>
    <col min="12" max="12" width="10.00390625" style="0" customWidth="1"/>
    <col min="13" max="13" width="9.875" style="0" customWidth="1"/>
    <col min="14" max="14" width="9.375" style="0" customWidth="1"/>
    <col min="15" max="15" width="15.875" style="0" customWidth="1"/>
    <col min="16" max="16" width="20.125" style="0" customWidth="1"/>
    <col min="17" max="18" width="12.50390625" style="0" customWidth="1"/>
    <col min="19" max="19" width="24.375" style="0" customWidth="1"/>
  </cols>
  <sheetData>
    <row r="1" spans="1:19" ht="6.75" customHeight="1">
      <c r="A1" s="247"/>
      <c r="B1" s="247"/>
      <c r="C1" s="247"/>
      <c r="D1" s="247"/>
      <c r="E1" s="247"/>
      <c r="F1" s="247"/>
      <c r="G1" s="247"/>
      <c r="H1" s="247"/>
      <c r="I1" s="247"/>
      <c r="J1" s="247"/>
      <c r="K1" s="247"/>
      <c r="L1" s="247"/>
      <c r="M1" s="247"/>
      <c r="N1" s="247"/>
      <c r="O1" s="247"/>
      <c r="P1" s="247"/>
      <c r="Q1" s="247"/>
      <c r="R1" s="247"/>
      <c r="S1" s="247"/>
    </row>
    <row r="2" spans="1:19" ht="11.25" customHeight="1">
      <c r="A2" s="1096" t="s">
        <v>377</v>
      </c>
      <c r="B2" s="1097">
        <f>IF('能力'!C76="","",'能力'!C76)</f>
      </c>
      <c r="C2" s="248"/>
      <c r="D2" s="248"/>
      <c r="E2" s="1133" t="s">
        <v>246</v>
      </c>
      <c r="F2" s="1099" t="s">
        <v>247</v>
      </c>
      <c r="G2" s="1100"/>
      <c r="H2" s="1100"/>
      <c r="I2" s="1101"/>
      <c r="J2" s="1111" t="s">
        <v>224</v>
      </c>
      <c r="K2" s="1113" t="str">
        <f>25+INT(B5/2)*5&amp;"ｆｔ"</f>
        <v>25ｆｔ</v>
      </c>
      <c r="L2" s="248"/>
      <c r="M2" s="248"/>
      <c r="N2" s="248"/>
      <c r="O2" s="248"/>
      <c r="P2" s="248"/>
      <c r="Q2" s="248"/>
      <c r="R2" s="248"/>
      <c r="S2" s="248"/>
    </row>
    <row r="3" spans="1:19" ht="11.25" customHeight="1">
      <c r="A3" s="1086"/>
      <c r="B3" s="1098"/>
      <c r="C3" s="248"/>
      <c r="D3" s="248"/>
      <c r="E3" s="1134"/>
      <c r="F3" s="1102"/>
      <c r="G3" s="1103"/>
      <c r="H3" s="1103"/>
      <c r="I3" s="1104"/>
      <c r="J3" s="1112"/>
      <c r="K3" s="1114"/>
      <c r="L3" s="248"/>
      <c r="M3" s="248"/>
      <c r="N3" s="248"/>
      <c r="O3" s="248"/>
      <c r="P3" s="248"/>
      <c r="Q3" s="248"/>
      <c r="R3" s="248"/>
      <c r="S3" s="248"/>
    </row>
    <row r="4" spans="1:19" ht="11.25" customHeight="1">
      <c r="A4" s="249"/>
      <c r="B4" s="250"/>
      <c r="C4" s="248"/>
      <c r="D4" s="248"/>
      <c r="E4" s="1133" t="s">
        <v>495</v>
      </c>
      <c r="F4" s="1147" t="str">
        <f>CONCATENATE(IF('能力'!S77="","",'能力'!S77)&amp;IF('能力'!U77="","",CONCATENATE("/ ",'能力'!U77))&amp;IF('能力'!W77="","",CONCATENATE("/ ",'能力'!W77))&amp;IF('能力'!Y77="","",CONCATENATE("/ ",'能力'!Y77))&amp;IF('能力'!AA77="","",CONCATENATE("/ ",'能力'!AA77))&amp;IF('能力'!AC77="","",CONCATENATE("/ ",'能力'!AC77))&amp;IF('能力'!AE77="","",CONCATENATE("/ ",'能力'!AE77))&amp;IF('能力'!AG77="","",CONCATENATE("/ ",'能力'!AG77))&amp;IF('能力'!AI77="","",CONCATENATE("/ ",'能力'!AI77))&amp;IF('能力'!AK77="","",CONCATENATE("/ ",'能力'!AK77)))</f>
        <v>-</v>
      </c>
      <c r="G4" s="1148"/>
      <c r="H4" s="1148"/>
      <c r="I4" s="1149"/>
      <c r="J4" s="1111" t="s">
        <v>226</v>
      </c>
      <c r="K4" s="1113" t="str">
        <f>100+B5*10&amp;"ｆｔ"</f>
        <v>100ｆｔ</v>
      </c>
      <c r="L4" s="248"/>
      <c r="M4" s="248"/>
      <c r="N4" s="248"/>
      <c r="O4" s="248"/>
      <c r="P4" s="248"/>
      <c r="Q4" s="248"/>
      <c r="R4" s="248"/>
      <c r="S4" s="248"/>
    </row>
    <row r="5" spans="1:19" ht="11.25" customHeight="1">
      <c r="A5" s="1153" t="s">
        <v>493</v>
      </c>
      <c r="B5" s="1155">
        <f>'能力'!L76</f>
        <v>0</v>
      </c>
      <c r="C5" s="248"/>
      <c r="D5" s="248"/>
      <c r="E5" s="1134"/>
      <c r="F5" s="1150"/>
      <c r="G5" s="1151"/>
      <c r="H5" s="1151"/>
      <c r="I5" s="1152"/>
      <c r="J5" s="1112"/>
      <c r="K5" s="1114"/>
      <c r="L5" s="248"/>
      <c r="M5" s="248"/>
      <c r="N5" s="248"/>
      <c r="O5" s="248"/>
      <c r="P5" s="248"/>
      <c r="Q5" s="248"/>
      <c r="R5" s="248"/>
      <c r="S5" s="248"/>
    </row>
    <row r="6" spans="1:19" ht="11.25" customHeight="1">
      <c r="A6" s="1154"/>
      <c r="B6" s="1156"/>
      <c r="C6" s="248"/>
      <c r="D6" s="248"/>
      <c r="E6" s="248"/>
      <c r="F6" s="248"/>
      <c r="G6" s="248"/>
      <c r="H6" s="248"/>
      <c r="I6" s="248"/>
      <c r="J6" s="1111" t="s">
        <v>228</v>
      </c>
      <c r="K6" s="1113" t="str">
        <f>400+B5*20&amp;"ｆｔ"</f>
        <v>400ｆｔ</v>
      </c>
      <c r="L6" s="248"/>
      <c r="M6" s="248"/>
      <c r="N6" s="248"/>
      <c r="O6" s="253"/>
      <c r="P6" s="248"/>
      <c r="Q6" s="248"/>
      <c r="R6" s="248"/>
      <c r="S6" s="248"/>
    </row>
    <row r="7" spans="1:19" ht="11.25" customHeight="1">
      <c r="A7" s="251"/>
      <c r="B7" s="252"/>
      <c r="C7" s="248"/>
      <c r="D7" s="248"/>
      <c r="E7" s="1123" t="s">
        <v>248</v>
      </c>
      <c r="F7" s="1125" t="e">
        <f>F9+F11+F13+I13</f>
        <v>#N/A</v>
      </c>
      <c r="G7" s="1126"/>
      <c r="H7" s="1126"/>
      <c r="I7" s="1127"/>
      <c r="J7" s="1112"/>
      <c r="K7" s="1114"/>
      <c r="L7" s="248"/>
      <c r="M7" s="248"/>
      <c r="N7" s="248"/>
      <c r="O7" s="253"/>
      <c r="P7" s="248"/>
      <c r="Q7" s="248"/>
      <c r="R7" s="248"/>
      <c r="S7" s="248"/>
    </row>
    <row r="8" spans="1:19" ht="11.25" customHeight="1">
      <c r="A8" s="1075" t="str">
        <f>IF('能力'!J77=7,"【対応能力値】",INDEX('能力'!BU21:BU27,'能力'!J77))</f>
        <v>【対応能力値】</v>
      </c>
      <c r="B8" s="1131" t="str">
        <f>IF('能力'!J77=7,"―",INDEX('能力'!I18:I23,'能力'!J77))</f>
        <v>―</v>
      </c>
      <c r="C8" s="248"/>
      <c r="D8" s="248"/>
      <c r="E8" s="1124"/>
      <c r="F8" s="1128"/>
      <c r="G8" s="1129"/>
      <c r="H8" s="1129"/>
      <c r="I8" s="1130"/>
      <c r="J8" s="253"/>
      <c r="K8" s="248"/>
      <c r="L8" s="248"/>
      <c r="M8" s="248"/>
      <c r="N8" s="248"/>
      <c r="O8" s="248"/>
      <c r="P8" s="248"/>
      <c r="Q8" s="248"/>
      <c r="R8" s="248"/>
      <c r="S8" s="248"/>
    </row>
    <row r="9" spans="1:19" ht="11.25" customHeight="1">
      <c r="A9" s="1076"/>
      <c r="B9" s="1132"/>
      <c r="C9" s="248"/>
      <c r="D9" s="248"/>
      <c r="E9" s="1133" t="s">
        <v>249</v>
      </c>
      <c r="F9" s="1135" t="e">
        <f>HLOOKUP(B2,C52:L72,B5+1)</f>
        <v>#N/A</v>
      </c>
      <c r="G9" s="1136"/>
      <c r="H9" s="1136"/>
      <c r="I9" s="1137"/>
      <c r="J9" s="1096" t="s">
        <v>250</v>
      </c>
      <c r="K9" s="1107"/>
      <c r="L9" s="1108"/>
      <c r="M9" s="248"/>
      <c r="N9" s="248"/>
      <c r="O9" s="248"/>
      <c r="P9" s="248"/>
      <c r="Q9" s="248"/>
      <c r="R9" s="248"/>
      <c r="S9" s="248"/>
    </row>
    <row r="10" spans="1:19" ht="11.25" customHeight="1">
      <c r="A10" s="1096" t="s">
        <v>229</v>
      </c>
      <c r="B10" s="1105">
        <f>IF('能力'!J77=7,"",INT((B8-10)/2))</f>
      </c>
      <c r="C10" s="248"/>
      <c r="D10" s="248"/>
      <c r="E10" s="1134"/>
      <c r="F10" s="1138"/>
      <c r="G10" s="1139"/>
      <c r="H10" s="1139"/>
      <c r="I10" s="1140"/>
      <c r="J10" s="1086"/>
      <c r="K10" s="1109"/>
      <c r="L10" s="1110"/>
      <c r="M10" s="248"/>
      <c r="N10" s="248"/>
      <c r="O10" s="248"/>
      <c r="P10" s="248"/>
      <c r="Q10" s="248"/>
      <c r="R10" s="248"/>
      <c r="S10" s="248"/>
    </row>
    <row r="11" spans="1:19" ht="11.25" customHeight="1">
      <c r="A11" s="1086"/>
      <c r="B11" s="1106"/>
      <c r="C11" s="248"/>
      <c r="D11" s="248"/>
      <c r="E11" s="1133" t="s">
        <v>251</v>
      </c>
      <c r="F11" s="1141" t="e">
        <f>IF(B10&gt;0,(INT(B10*B5/2)),0)</f>
        <v>#VALUE!</v>
      </c>
      <c r="G11" s="1142"/>
      <c r="H11" s="1142"/>
      <c r="I11" s="1143"/>
      <c r="J11" s="248"/>
      <c r="K11" s="248"/>
      <c r="L11" s="248"/>
      <c r="M11" s="248"/>
      <c r="N11" s="248"/>
      <c r="O11" s="248"/>
      <c r="P11" s="248"/>
      <c r="Q11" s="248"/>
      <c r="R11" s="248"/>
      <c r="S11" s="248"/>
    </row>
    <row r="12" spans="1:19" ht="11.25" customHeight="1">
      <c r="A12" s="267"/>
      <c r="B12" s="267"/>
      <c r="C12" s="267"/>
      <c r="D12" s="267"/>
      <c r="E12" s="1134"/>
      <c r="F12" s="1144"/>
      <c r="G12" s="1145"/>
      <c r="H12" s="1145"/>
      <c r="I12" s="1146"/>
      <c r="J12" s="267"/>
      <c r="K12" s="267"/>
      <c r="L12" s="267"/>
      <c r="M12" s="267"/>
      <c r="N12" s="267"/>
      <c r="O12" s="267"/>
      <c r="P12" s="267"/>
      <c r="Q12" s="267"/>
      <c r="R12" s="267"/>
      <c r="S12" s="267"/>
    </row>
    <row r="13" spans="1:19" ht="11.25" customHeight="1">
      <c r="A13" s="1115" t="s">
        <v>252</v>
      </c>
      <c r="B13" s="1117" t="e">
        <f>VLOOKUP(C74-1,D75:E76,2)</f>
        <v>#N/A</v>
      </c>
      <c r="C13" s="267"/>
      <c r="D13" s="267"/>
      <c r="E13" s="977" t="s">
        <v>423</v>
      </c>
      <c r="F13" s="1119"/>
      <c r="G13" s="1121" t="s">
        <v>253</v>
      </c>
      <c r="H13" s="362"/>
      <c r="I13" s="1119"/>
      <c r="J13" s="267"/>
      <c r="K13" s="267"/>
      <c r="L13" s="267"/>
      <c r="M13" s="267"/>
      <c r="N13" s="267"/>
      <c r="O13" s="267"/>
      <c r="P13" s="267"/>
      <c r="Q13" s="267"/>
      <c r="R13" s="267"/>
      <c r="S13" s="267"/>
    </row>
    <row r="14" spans="1:19" ht="11.25" customHeight="1">
      <c r="A14" s="1116"/>
      <c r="B14" s="1118"/>
      <c r="C14" s="267"/>
      <c r="D14" s="267"/>
      <c r="E14" s="978"/>
      <c r="F14" s="1120"/>
      <c r="G14" s="1122"/>
      <c r="H14" s="363"/>
      <c r="I14" s="1120"/>
      <c r="J14" s="267"/>
      <c r="K14" s="267"/>
      <c r="L14" s="268"/>
      <c r="M14" s="269"/>
      <c r="N14" s="270"/>
      <c r="O14" s="267"/>
      <c r="P14" s="267"/>
      <c r="Q14" s="267"/>
      <c r="R14" s="267"/>
      <c r="S14" s="267"/>
    </row>
    <row r="15" ht="11.25" customHeight="1"/>
    <row r="16" spans="1:19" ht="11.25" customHeight="1">
      <c r="A16" s="271"/>
      <c r="B16" s="271"/>
      <c r="C16" s="272"/>
      <c r="D16" s="272"/>
      <c r="E16" s="272"/>
      <c r="F16" s="272"/>
      <c r="G16" s="272"/>
      <c r="H16" s="272"/>
      <c r="I16" s="272"/>
      <c r="J16" s="272"/>
      <c r="K16" s="272"/>
      <c r="L16" s="272"/>
      <c r="M16" s="272"/>
      <c r="N16" s="272"/>
      <c r="O16" s="272"/>
      <c r="P16" s="272"/>
      <c r="Q16" s="272"/>
      <c r="R16" s="272"/>
      <c r="S16" s="272"/>
    </row>
    <row r="17" spans="1:19" ht="13.5">
      <c r="A17" s="256"/>
      <c r="B17" s="257" t="s">
        <v>254</v>
      </c>
      <c r="C17" s="257" t="s">
        <v>38</v>
      </c>
      <c r="D17" s="257" t="s">
        <v>37</v>
      </c>
      <c r="E17" s="257" t="s">
        <v>232</v>
      </c>
      <c r="F17" s="257" t="s">
        <v>255</v>
      </c>
      <c r="G17" s="257" t="s">
        <v>256</v>
      </c>
      <c r="H17" s="257" t="s">
        <v>43</v>
      </c>
      <c r="I17" s="257" t="s">
        <v>57</v>
      </c>
      <c r="J17" s="257" t="s">
        <v>257</v>
      </c>
      <c r="K17" s="257" t="s">
        <v>258</v>
      </c>
      <c r="L17" s="257" t="s">
        <v>237</v>
      </c>
      <c r="M17" s="258" t="s">
        <v>238</v>
      </c>
      <c r="N17" s="258" t="s">
        <v>239</v>
      </c>
      <c r="O17" s="258" t="s">
        <v>217</v>
      </c>
      <c r="P17" s="258" t="s">
        <v>259</v>
      </c>
      <c r="Q17" s="258" t="s">
        <v>260</v>
      </c>
      <c r="R17" s="258" t="s">
        <v>243</v>
      </c>
      <c r="S17" s="259" t="s">
        <v>244</v>
      </c>
    </row>
    <row r="18" spans="1:19" ht="13.5">
      <c r="A18" s="260"/>
      <c r="B18" s="261"/>
      <c r="C18" s="262"/>
      <c r="D18" s="262"/>
      <c r="E18" s="262"/>
      <c r="F18" s="262"/>
      <c r="G18" s="262"/>
      <c r="H18" s="262"/>
      <c r="I18" s="262"/>
      <c r="J18" s="262"/>
      <c r="K18" s="262"/>
      <c r="L18" s="262"/>
      <c r="M18" s="262"/>
      <c r="N18" s="262"/>
      <c r="O18" s="262"/>
      <c r="P18" s="262"/>
      <c r="Q18" s="262"/>
      <c r="R18" s="262"/>
      <c r="S18" s="262"/>
    </row>
    <row r="19" spans="1:19" ht="13.5">
      <c r="A19" s="260"/>
      <c r="B19" s="261"/>
      <c r="C19" s="262"/>
      <c r="D19" s="262"/>
      <c r="E19" s="262"/>
      <c r="F19" s="262"/>
      <c r="G19" s="262"/>
      <c r="H19" s="262"/>
      <c r="I19" s="262"/>
      <c r="J19" s="262"/>
      <c r="K19" s="262"/>
      <c r="L19" s="262"/>
      <c r="M19" s="262"/>
      <c r="N19" s="262"/>
      <c r="O19" s="262"/>
      <c r="P19" s="262"/>
      <c r="Q19" s="262"/>
      <c r="R19" s="262"/>
      <c r="S19" s="262"/>
    </row>
    <row r="20" spans="1:19" ht="13.5">
      <c r="A20" s="260"/>
      <c r="B20" s="261"/>
      <c r="C20" s="262"/>
      <c r="D20" s="262"/>
      <c r="E20" s="262"/>
      <c r="F20" s="262"/>
      <c r="G20" s="262"/>
      <c r="H20" s="262"/>
      <c r="I20" s="262"/>
      <c r="J20" s="262"/>
      <c r="K20" s="262"/>
      <c r="L20" s="262"/>
      <c r="M20" s="262"/>
      <c r="N20" s="262"/>
      <c r="O20" s="262"/>
      <c r="P20" s="262"/>
      <c r="Q20" s="262"/>
      <c r="R20" s="262"/>
      <c r="S20" s="262"/>
    </row>
    <row r="21" spans="1:19" ht="13.5">
      <c r="A21" s="260"/>
      <c r="B21" s="261"/>
      <c r="C21" s="262"/>
      <c r="D21" s="262"/>
      <c r="E21" s="262"/>
      <c r="F21" s="262"/>
      <c r="G21" s="262"/>
      <c r="H21" s="262"/>
      <c r="I21" s="262"/>
      <c r="J21" s="262"/>
      <c r="K21" s="262"/>
      <c r="L21" s="262"/>
      <c r="M21" s="262"/>
      <c r="N21" s="262"/>
      <c r="O21" s="262"/>
      <c r="P21" s="262"/>
      <c r="Q21" s="262"/>
      <c r="R21" s="262"/>
      <c r="S21" s="262"/>
    </row>
    <row r="22" spans="1:19" ht="13.5">
      <c r="A22" s="260"/>
      <c r="B22" s="261"/>
      <c r="C22" s="262"/>
      <c r="D22" s="262"/>
      <c r="E22" s="262"/>
      <c r="F22" s="262"/>
      <c r="G22" s="262"/>
      <c r="H22" s="262"/>
      <c r="I22" s="262"/>
      <c r="J22" s="262"/>
      <c r="K22" s="262"/>
      <c r="L22" s="262"/>
      <c r="M22" s="262"/>
      <c r="N22" s="262"/>
      <c r="O22" s="262"/>
      <c r="P22" s="262"/>
      <c r="Q22" s="262"/>
      <c r="R22" s="262"/>
      <c r="S22" s="262"/>
    </row>
    <row r="23" spans="1:19" ht="13.5">
      <c r="A23" s="260"/>
      <c r="B23" s="261"/>
      <c r="C23" s="262"/>
      <c r="D23" s="262"/>
      <c r="E23" s="262"/>
      <c r="F23" s="262"/>
      <c r="G23" s="262"/>
      <c r="H23" s="262"/>
      <c r="I23" s="262"/>
      <c r="J23" s="262"/>
      <c r="K23" s="262"/>
      <c r="L23" s="262"/>
      <c r="M23" s="262"/>
      <c r="N23" s="262"/>
      <c r="O23" s="262"/>
      <c r="P23" s="262"/>
      <c r="Q23" s="262"/>
      <c r="R23" s="262"/>
      <c r="S23" s="262"/>
    </row>
    <row r="24" spans="1:19" ht="13.5">
      <c r="A24" s="260"/>
      <c r="B24" s="261"/>
      <c r="C24" s="262"/>
      <c r="D24" s="262"/>
      <c r="E24" s="262"/>
      <c r="F24" s="262"/>
      <c r="G24" s="262"/>
      <c r="H24" s="262"/>
      <c r="I24" s="262"/>
      <c r="J24" s="262"/>
      <c r="K24" s="262"/>
      <c r="L24" s="262"/>
      <c r="M24" s="262"/>
      <c r="N24" s="262"/>
      <c r="O24" s="262"/>
      <c r="P24" s="262"/>
      <c r="Q24" s="262"/>
      <c r="R24" s="262"/>
      <c r="S24" s="262"/>
    </row>
    <row r="25" spans="1:19" ht="13.5">
      <c r="A25" s="260"/>
      <c r="B25" s="261"/>
      <c r="C25" s="262"/>
      <c r="D25" s="262"/>
      <c r="E25" s="262"/>
      <c r="F25" s="262"/>
      <c r="G25" s="262"/>
      <c r="H25" s="262"/>
      <c r="I25" s="262"/>
      <c r="J25" s="262"/>
      <c r="K25" s="262"/>
      <c r="L25" s="262"/>
      <c r="M25" s="262"/>
      <c r="N25" s="262"/>
      <c r="O25" s="262"/>
      <c r="P25" s="262"/>
      <c r="Q25" s="262"/>
      <c r="R25" s="262"/>
      <c r="S25" s="262"/>
    </row>
    <row r="26" spans="1:19" ht="13.5">
      <c r="A26" s="260"/>
      <c r="B26" s="261"/>
      <c r="C26" s="262"/>
      <c r="D26" s="262"/>
      <c r="E26" s="262"/>
      <c r="F26" s="262"/>
      <c r="G26" s="262"/>
      <c r="H26" s="262"/>
      <c r="I26" s="262"/>
      <c r="J26" s="262"/>
      <c r="K26" s="262"/>
      <c r="L26" s="262"/>
      <c r="M26" s="262"/>
      <c r="N26" s="262"/>
      <c r="O26" s="262"/>
      <c r="P26" s="262"/>
      <c r="Q26" s="262"/>
      <c r="R26" s="262"/>
      <c r="S26" s="262"/>
    </row>
    <row r="27" spans="1:19" ht="13.5">
      <c r="A27" s="260"/>
      <c r="B27" s="261"/>
      <c r="C27" s="262"/>
      <c r="D27" s="262"/>
      <c r="E27" s="262"/>
      <c r="F27" s="262"/>
      <c r="G27" s="262"/>
      <c r="H27" s="262"/>
      <c r="I27" s="262"/>
      <c r="J27" s="262"/>
      <c r="K27" s="262"/>
      <c r="L27" s="262"/>
      <c r="M27" s="262"/>
      <c r="N27" s="262"/>
      <c r="O27" s="262"/>
      <c r="P27" s="262"/>
      <c r="Q27" s="262"/>
      <c r="R27" s="262"/>
      <c r="S27" s="262"/>
    </row>
    <row r="28" spans="1:19" ht="13.5">
      <c r="A28" s="260"/>
      <c r="B28" s="261"/>
      <c r="C28" s="262"/>
      <c r="D28" s="262"/>
      <c r="E28" s="262"/>
      <c r="F28" s="262"/>
      <c r="G28" s="262"/>
      <c r="H28" s="262"/>
      <c r="I28" s="262"/>
      <c r="J28" s="262"/>
      <c r="K28" s="262"/>
      <c r="L28" s="262"/>
      <c r="M28" s="262"/>
      <c r="N28" s="262"/>
      <c r="O28" s="262"/>
      <c r="P28" s="262"/>
      <c r="Q28" s="262"/>
      <c r="R28" s="262"/>
      <c r="S28" s="262"/>
    </row>
    <row r="29" spans="1:19" ht="13.5">
      <c r="A29" s="260"/>
      <c r="B29" s="261"/>
      <c r="C29" s="262"/>
      <c r="D29" s="262"/>
      <c r="E29" s="262"/>
      <c r="F29" s="262"/>
      <c r="G29" s="262"/>
      <c r="H29" s="262"/>
      <c r="I29" s="262"/>
      <c r="J29" s="262"/>
      <c r="K29" s="262"/>
      <c r="L29" s="262"/>
      <c r="M29" s="262"/>
      <c r="N29" s="262"/>
      <c r="O29" s="262"/>
      <c r="P29" s="262"/>
      <c r="Q29" s="262"/>
      <c r="R29" s="262"/>
      <c r="S29" s="262"/>
    </row>
    <row r="30" spans="1:19" ht="13.5">
      <c r="A30" s="260"/>
      <c r="B30" s="261"/>
      <c r="C30" s="262"/>
      <c r="D30" s="262"/>
      <c r="E30" s="262"/>
      <c r="F30" s="262"/>
      <c r="G30" s="262"/>
      <c r="H30" s="262"/>
      <c r="I30" s="262"/>
      <c r="J30" s="262"/>
      <c r="K30" s="262"/>
      <c r="L30" s="262"/>
      <c r="M30" s="262"/>
      <c r="N30" s="262"/>
      <c r="O30" s="262"/>
      <c r="P30" s="262"/>
      <c r="Q30" s="262"/>
      <c r="R30" s="262"/>
      <c r="S30" s="262"/>
    </row>
    <row r="31" spans="1:19" ht="13.5">
      <c r="A31" s="260"/>
      <c r="B31" s="261"/>
      <c r="C31" s="262"/>
      <c r="D31" s="262"/>
      <c r="E31" s="262"/>
      <c r="F31" s="262"/>
      <c r="G31" s="262"/>
      <c r="H31" s="262"/>
      <c r="I31" s="262"/>
      <c r="J31" s="262"/>
      <c r="K31" s="262"/>
      <c r="L31" s="262"/>
      <c r="M31" s="262"/>
      <c r="N31" s="262"/>
      <c r="O31" s="262"/>
      <c r="P31" s="262"/>
      <c r="Q31" s="262"/>
      <c r="R31" s="262"/>
      <c r="S31" s="262"/>
    </row>
    <row r="32" spans="1:19" ht="13.5">
      <c r="A32" s="260"/>
      <c r="B32" s="261"/>
      <c r="C32" s="262"/>
      <c r="D32" s="262"/>
      <c r="E32" s="262"/>
      <c r="F32" s="262"/>
      <c r="G32" s="262"/>
      <c r="H32" s="262"/>
      <c r="I32" s="262"/>
      <c r="J32" s="262"/>
      <c r="K32" s="262"/>
      <c r="L32" s="262"/>
      <c r="M32" s="262"/>
      <c r="N32" s="262"/>
      <c r="O32" s="262"/>
      <c r="P32" s="262"/>
      <c r="Q32" s="262"/>
      <c r="R32" s="262"/>
      <c r="S32" s="262"/>
    </row>
    <row r="33" spans="1:19" ht="13.5">
      <c r="A33" s="260"/>
      <c r="B33" s="261"/>
      <c r="C33" s="262"/>
      <c r="D33" s="262"/>
      <c r="E33" s="262"/>
      <c r="F33" s="262"/>
      <c r="G33" s="262"/>
      <c r="H33" s="262"/>
      <c r="I33" s="262"/>
      <c r="J33" s="262"/>
      <c r="K33" s="262"/>
      <c r="L33" s="262"/>
      <c r="M33" s="262"/>
      <c r="N33" s="262"/>
      <c r="O33" s="262"/>
      <c r="P33" s="262"/>
      <c r="Q33" s="262"/>
      <c r="R33" s="262"/>
      <c r="S33" s="262"/>
    </row>
    <row r="34" spans="1:19" ht="13.5">
      <c r="A34" s="260"/>
      <c r="B34" s="261"/>
      <c r="C34" s="262"/>
      <c r="D34" s="262"/>
      <c r="E34" s="262"/>
      <c r="F34" s="262"/>
      <c r="G34" s="262"/>
      <c r="H34" s="262"/>
      <c r="I34" s="262"/>
      <c r="J34" s="262"/>
      <c r="K34" s="262"/>
      <c r="L34" s="262"/>
      <c r="M34" s="262"/>
      <c r="N34" s="262"/>
      <c r="O34" s="262"/>
      <c r="P34" s="262"/>
      <c r="Q34" s="262"/>
      <c r="R34" s="262"/>
      <c r="S34" s="262"/>
    </row>
    <row r="35" spans="1:19" ht="13.5">
      <c r="A35" s="260"/>
      <c r="B35" s="261"/>
      <c r="C35" s="262"/>
      <c r="D35" s="262"/>
      <c r="E35" s="262"/>
      <c r="F35" s="262"/>
      <c r="G35" s="262"/>
      <c r="H35" s="262"/>
      <c r="I35" s="262"/>
      <c r="J35" s="262"/>
      <c r="K35" s="262"/>
      <c r="L35" s="262"/>
      <c r="M35" s="262"/>
      <c r="N35" s="262"/>
      <c r="O35" s="262"/>
      <c r="P35" s="262"/>
      <c r="Q35" s="262"/>
      <c r="R35" s="262"/>
      <c r="S35" s="262"/>
    </row>
    <row r="36" spans="1:19" ht="13.5">
      <c r="A36" s="260"/>
      <c r="B36" s="261"/>
      <c r="C36" s="262"/>
      <c r="D36" s="262"/>
      <c r="E36" s="262"/>
      <c r="F36" s="262"/>
      <c r="G36" s="262"/>
      <c r="H36" s="262"/>
      <c r="I36" s="262"/>
      <c r="J36" s="262"/>
      <c r="K36" s="262"/>
      <c r="L36" s="262"/>
      <c r="M36" s="262"/>
      <c r="N36" s="262"/>
      <c r="O36" s="262"/>
      <c r="P36" s="262"/>
      <c r="Q36" s="262"/>
      <c r="R36" s="262"/>
      <c r="S36" s="262"/>
    </row>
    <row r="37" spans="1:19" ht="13.5">
      <c r="A37" s="260"/>
      <c r="B37" s="261"/>
      <c r="C37" s="262"/>
      <c r="D37" s="262"/>
      <c r="E37" s="262"/>
      <c r="F37" s="262"/>
      <c r="G37" s="262"/>
      <c r="H37" s="262"/>
      <c r="I37" s="262"/>
      <c r="J37" s="262"/>
      <c r="K37" s="262"/>
      <c r="L37" s="262"/>
      <c r="M37" s="262"/>
      <c r="N37" s="262"/>
      <c r="O37" s="262"/>
      <c r="P37" s="262"/>
      <c r="Q37" s="262"/>
      <c r="R37" s="262"/>
      <c r="S37" s="262"/>
    </row>
    <row r="38" spans="1:19" ht="13.5">
      <c r="A38" s="260"/>
      <c r="B38" s="261"/>
      <c r="C38" s="262"/>
      <c r="D38" s="262"/>
      <c r="E38" s="262"/>
      <c r="F38" s="262"/>
      <c r="G38" s="262"/>
      <c r="H38" s="262"/>
      <c r="I38" s="262"/>
      <c r="J38" s="262"/>
      <c r="K38" s="262"/>
      <c r="L38" s="262"/>
      <c r="M38" s="262"/>
      <c r="N38" s="262"/>
      <c r="O38" s="262"/>
      <c r="P38" s="262"/>
      <c r="Q38" s="262"/>
      <c r="R38" s="262"/>
      <c r="S38" s="262"/>
    </row>
    <row r="39" spans="1:19" ht="13.5">
      <c r="A39" s="260"/>
      <c r="B39" s="261"/>
      <c r="C39" s="262"/>
      <c r="D39" s="262"/>
      <c r="E39" s="262"/>
      <c r="F39" s="262"/>
      <c r="G39" s="262"/>
      <c r="H39" s="262"/>
      <c r="I39" s="262"/>
      <c r="J39" s="262"/>
      <c r="K39" s="262"/>
      <c r="L39" s="262"/>
      <c r="M39" s="262"/>
      <c r="N39" s="262"/>
      <c r="O39" s="262"/>
      <c r="P39" s="262"/>
      <c r="Q39" s="262"/>
      <c r="R39" s="262"/>
      <c r="S39" s="262"/>
    </row>
    <row r="40" spans="1:19" ht="13.5">
      <c r="A40" s="260"/>
      <c r="B40" s="261"/>
      <c r="C40" s="262"/>
      <c r="D40" s="262"/>
      <c r="E40" s="262"/>
      <c r="F40" s="262"/>
      <c r="G40" s="262"/>
      <c r="H40" s="262"/>
      <c r="I40" s="262"/>
      <c r="J40" s="262"/>
      <c r="K40" s="262"/>
      <c r="L40" s="262"/>
      <c r="M40" s="262"/>
      <c r="N40" s="262"/>
      <c r="O40" s="262"/>
      <c r="P40" s="262"/>
      <c r="Q40" s="262"/>
      <c r="R40" s="262"/>
      <c r="S40" s="262"/>
    </row>
    <row r="41" spans="1:19" ht="13.5">
      <c r="A41" s="260"/>
      <c r="B41" s="261"/>
      <c r="C41" s="262"/>
      <c r="D41" s="262"/>
      <c r="E41" s="262"/>
      <c r="F41" s="262"/>
      <c r="G41" s="262"/>
      <c r="H41" s="262"/>
      <c r="I41" s="262"/>
      <c r="J41" s="262"/>
      <c r="K41" s="262"/>
      <c r="L41" s="262"/>
      <c r="M41" s="262"/>
      <c r="N41" s="262"/>
      <c r="O41" s="262"/>
      <c r="P41" s="262"/>
      <c r="Q41" s="262"/>
      <c r="R41" s="262"/>
      <c r="S41" s="262"/>
    </row>
    <row r="42" spans="1:19" ht="13.5">
      <c r="A42" s="260"/>
      <c r="B42" s="261"/>
      <c r="C42" s="262"/>
      <c r="D42" s="262"/>
      <c r="E42" s="262"/>
      <c r="F42" s="262"/>
      <c r="G42" s="262"/>
      <c r="H42" s="262"/>
      <c r="I42" s="262"/>
      <c r="J42" s="262"/>
      <c r="K42" s="262"/>
      <c r="L42" s="262"/>
      <c r="M42" s="262"/>
      <c r="N42" s="262"/>
      <c r="O42" s="262"/>
      <c r="P42" s="262"/>
      <c r="Q42" s="262"/>
      <c r="R42" s="262"/>
      <c r="S42" s="262"/>
    </row>
    <row r="43" spans="1:19" ht="13.5">
      <c r="A43" s="260"/>
      <c r="B43" s="261"/>
      <c r="C43" s="262"/>
      <c r="D43" s="262"/>
      <c r="E43" s="262"/>
      <c r="F43" s="262"/>
      <c r="G43" s="262"/>
      <c r="H43" s="262"/>
      <c r="I43" s="262"/>
      <c r="J43" s="262"/>
      <c r="K43" s="262"/>
      <c r="L43" s="262"/>
      <c r="M43" s="262"/>
      <c r="N43" s="262"/>
      <c r="O43" s="262"/>
      <c r="P43" s="262"/>
      <c r="Q43" s="262"/>
      <c r="R43" s="262"/>
      <c r="S43" s="262"/>
    </row>
    <row r="44" spans="1:19" ht="13.5">
      <c r="A44" s="260"/>
      <c r="B44" s="261"/>
      <c r="C44" s="262"/>
      <c r="D44" s="262"/>
      <c r="E44" s="262"/>
      <c r="F44" s="262"/>
      <c r="G44" s="262"/>
      <c r="H44" s="262"/>
      <c r="I44" s="262"/>
      <c r="J44" s="262"/>
      <c r="K44" s="262"/>
      <c r="L44" s="262"/>
      <c r="M44" s="262"/>
      <c r="N44" s="262"/>
      <c r="O44" s="262"/>
      <c r="P44" s="262"/>
      <c r="Q44" s="262"/>
      <c r="R44" s="262"/>
      <c r="S44" s="262"/>
    </row>
    <row r="45" spans="1:19" ht="13.5">
      <c r="A45" s="260"/>
      <c r="B45" s="261"/>
      <c r="C45" s="262"/>
      <c r="D45" s="262"/>
      <c r="E45" s="262"/>
      <c r="F45" s="262"/>
      <c r="G45" s="262"/>
      <c r="H45" s="262"/>
      <c r="I45" s="262"/>
      <c r="J45" s="262"/>
      <c r="K45" s="262"/>
      <c r="L45" s="262"/>
      <c r="M45" s="262"/>
      <c r="N45" s="262"/>
      <c r="O45" s="262"/>
      <c r="P45" s="262"/>
      <c r="Q45" s="262"/>
      <c r="R45" s="262"/>
      <c r="S45" s="262"/>
    </row>
    <row r="46" spans="1:19" ht="13.5">
      <c r="A46" s="260"/>
      <c r="B46" s="261"/>
      <c r="C46" s="262"/>
      <c r="D46" s="262"/>
      <c r="E46" s="262"/>
      <c r="F46" s="262"/>
      <c r="G46" s="262"/>
      <c r="H46" s="262"/>
      <c r="I46" s="262"/>
      <c r="J46" s="262"/>
      <c r="K46" s="262"/>
      <c r="L46" s="262"/>
      <c r="M46" s="262"/>
      <c r="N46" s="262"/>
      <c r="O46" s="262"/>
      <c r="P46" s="262"/>
      <c r="Q46" s="262"/>
      <c r="R46" s="262"/>
      <c r="S46" s="262"/>
    </row>
    <row r="47" spans="1:19" ht="13.5">
      <c r="A47" s="264"/>
      <c r="B47" s="265"/>
      <c r="C47" s="265"/>
      <c r="D47" s="265"/>
      <c r="E47" s="266"/>
      <c r="F47" s="266"/>
      <c r="G47" s="266"/>
      <c r="H47" s="266"/>
      <c r="I47" s="266"/>
      <c r="J47" s="266"/>
      <c r="K47" s="266"/>
      <c r="L47" s="266"/>
      <c r="M47" s="266"/>
      <c r="N47" s="266"/>
      <c r="O47" s="266"/>
      <c r="P47" s="266"/>
      <c r="Q47" s="266"/>
      <c r="R47" s="266"/>
      <c r="S47" s="266"/>
    </row>
    <row r="48" spans="1:9" ht="13.5">
      <c r="A48" s="247"/>
      <c r="B48" s="247"/>
      <c r="C48" s="247"/>
      <c r="D48" s="247"/>
      <c r="E48" s="247"/>
      <c r="F48" s="247"/>
      <c r="G48" s="247"/>
      <c r="H48" s="247"/>
      <c r="I48" s="247"/>
    </row>
    <row r="51" spans="2:6" ht="14.25" thickBot="1">
      <c r="B51" s="273" t="s">
        <v>261</v>
      </c>
      <c r="C51" s="273"/>
      <c r="D51" s="273"/>
      <c r="E51" s="273"/>
      <c r="F51" s="273"/>
    </row>
    <row r="52" spans="2:12" ht="13.5">
      <c r="B52" s="274" t="s">
        <v>262</v>
      </c>
      <c r="C52" s="367" t="s">
        <v>45</v>
      </c>
      <c r="D52" s="367" t="s">
        <v>46</v>
      </c>
      <c r="E52" s="367" t="s">
        <v>44</v>
      </c>
      <c r="F52" s="367" t="s">
        <v>47</v>
      </c>
      <c r="G52" s="368" t="s">
        <v>48</v>
      </c>
      <c r="H52" s="275" t="s">
        <v>49</v>
      </c>
      <c r="I52" s="275" t="s">
        <v>263</v>
      </c>
      <c r="J52" s="275" t="s">
        <v>264</v>
      </c>
      <c r="K52" s="275" t="s">
        <v>51</v>
      </c>
      <c r="L52" s="365" t="s">
        <v>50</v>
      </c>
    </row>
    <row r="53" spans="2:12" ht="13.5">
      <c r="B53" s="57">
        <v>1</v>
      </c>
      <c r="C53" s="364">
        <v>2</v>
      </c>
      <c r="D53" s="62">
        <v>0</v>
      </c>
      <c r="E53" s="364">
        <v>2</v>
      </c>
      <c r="F53" s="364">
        <v>1</v>
      </c>
      <c r="G53" s="62">
        <v>1</v>
      </c>
      <c r="H53" s="62">
        <v>2</v>
      </c>
      <c r="I53" s="62">
        <v>2</v>
      </c>
      <c r="J53" s="62">
        <v>0</v>
      </c>
      <c r="K53" s="62">
        <v>1</v>
      </c>
      <c r="L53" s="56">
        <v>2</v>
      </c>
    </row>
    <row r="54" spans="2:12" ht="13.5">
      <c r="B54" s="57">
        <v>2</v>
      </c>
      <c r="C54" s="364">
        <v>6</v>
      </c>
      <c r="D54" s="62">
        <v>1</v>
      </c>
      <c r="E54" s="364">
        <v>6</v>
      </c>
      <c r="F54" s="364">
        <v>2</v>
      </c>
      <c r="G54" s="62">
        <v>2</v>
      </c>
      <c r="H54" s="62">
        <v>5</v>
      </c>
      <c r="I54" s="62">
        <v>6</v>
      </c>
      <c r="J54" s="62">
        <v>1</v>
      </c>
      <c r="K54" s="62">
        <v>3</v>
      </c>
      <c r="L54" s="56">
        <v>6</v>
      </c>
    </row>
    <row r="55" spans="2:12" ht="13.5">
      <c r="B55" s="57">
        <v>3</v>
      </c>
      <c r="C55" s="364">
        <v>11</v>
      </c>
      <c r="D55" s="62">
        <v>2</v>
      </c>
      <c r="E55" s="364">
        <v>11</v>
      </c>
      <c r="F55" s="364">
        <v>3</v>
      </c>
      <c r="G55" s="62">
        <v>3</v>
      </c>
      <c r="H55" s="62">
        <v>9</v>
      </c>
      <c r="I55" s="62">
        <v>11</v>
      </c>
      <c r="J55" s="62">
        <v>3</v>
      </c>
      <c r="K55" s="62">
        <v>6</v>
      </c>
      <c r="L55" s="56">
        <v>11</v>
      </c>
    </row>
    <row r="56" spans="2:12" ht="13.5">
      <c r="B56" s="57">
        <v>4</v>
      </c>
      <c r="C56" s="364">
        <v>17</v>
      </c>
      <c r="D56" s="62">
        <v>3</v>
      </c>
      <c r="E56" s="364">
        <v>17</v>
      </c>
      <c r="F56" s="364">
        <v>5</v>
      </c>
      <c r="G56" s="62">
        <v>5</v>
      </c>
      <c r="H56" s="62">
        <v>14</v>
      </c>
      <c r="I56" s="62">
        <v>17</v>
      </c>
      <c r="J56" s="62">
        <v>5</v>
      </c>
      <c r="K56" s="62">
        <v>10</v>
      </c>
      <c r="L56" s="56">
        <v>17</v>
      </c>
    </row>
    <row r="57" spans="2:12" ht="13.5">
      <c r="B57" s="57">
        <v>5</v>
      </c>
      <c r="C57" s="364">
        <v>25</v>
      </c>
      <c r="D57" s="62">
        <v>4</v>
      </c>
      <c r="E57" s="364">
        <v>25</v>
      </c>
      <c r="F57" s="364">
        <v>7</v>
      </c>
      <c r="G57" s="62">
        <v>7</v>
      </c>
      <c r="H57" s="62">
        <v>20</v>
      </c>
      <c r="I57" s="62">
        <v>25</v>
      </c>
      <c r="J57" s="62">
        <v>7</v>
      </c>
      <c r="K57" s="62">
        <v>15</v>
      </c>
      <c r="L57" s="56">
        <v>25</v>
      </c>
    </row>
    <row r="58" spans="2:12" ht="13.5">
      <c r="B58" s="57">
        <v>6</v>
      </c>
      <c r="C58" s="364">
        <v>35</v>
      </c>
      <c r="D58" s="62">
        <v>6</v>
      </c>
      <c r="E58" s="364">
        <v>35</v>
      </c>
      <c r="F58" s="364">
        <v>11</v>
      </c>
      <c r="G58" s="62">
        <v>11</v>
      </c>
      <c r="H58" s="62">
        <v>28</v>
      </c>
      <c r="I58" s="62">
        <v>35</v>
      </c>
      <c r="J58" s="62">
        <v>11</v>
      </c>
      <c r="K58" s="62">
        <v>23</v>
      </c>
      <c r="L58" s="56">
        <v>35</v>
      </c>
    </row>
    <row r="59" spans="2:12" ht="13.5">
      <c r="B59" s="57">
        <v>7</v>
      </c>
      <c r="C59" s="364">
        <v>46</v>
      </c>
      <c r="D59" s="62">
        <v>8</v>
      </c>
      <c r="E59" s="364">
        <v>46</v>
      </c>
      <c r="F59" s="364">
        <v>15</v>
      </c>
      <c r="G59" s="62">
        <v>15</v>
      </c>
      <c r="H59" s="62">
        <v>37</v>
      </c>
      <c r="I59" s="62">
        <v>46</v>
      </c>
      <c r="J59" s="62">
        <v>15</v>
      </c>
      <c r="K59" s="62">
        <v>31</v>
      </c>
      <c r="L59" s="56">
        <v>46</v>
      </c>
    </row>
    <row r="60" spans="2:12" ht="13.5">
      <c r="B60" s="57">
        <v>8</v>
      </c>
      <c r="C60" s="364">
        <v>58</v>
      </c>
      <c r="D60" s="62">
        <v>10</v>
      </c>
      <c r="E60" s="364">
        <v>58</v>
      </c>
      <c r="F60" s="364">
        <v>19</v>
      </c>
      <c r="G60" s="62">
        <v>19</v>
      </c>
      <c r="H60" s="62">
        <v>47</v>
      </c>
      <c r="I60" s="62">
        <v>58</v>
      </c>
      <c r="J60" s="62">
        <v>19</v>
      </c>
      <c r="K60" s="62">
        <v>43</v>
      </c>
      <c r="L60" s="56">
        <v>58</v>
      </c>
    </row>
    <row r="61" spans="2:12" ht="13.5">
      <c r="B61" s="57">
        <v>9</v>
      </c>
      <c r="C61" s="364">
        <v>72</v>
      </c>
      <c r="D61" s="62">
        <v>12</v>
      </c>
      <c r="E61" s="364">
        <v>72</v>
      </c>
      <c r="F61" s="364">
        <v>23</v>
      </c>
      <c r="G61" s="62">
        <v>23</v>
      </c>
      <c r="H61" s="62">
        <v>58</v>
      </c>
      <c r="I61" s="62">
        <v>72</v>
      </c>
      <c r="J61" s="62">
        <v>23</v>
      </c>
      <c r="K61" s="62">
        <v>55</v>
      </c>
      <c r="L61" s="56">
        <v>72</v>
      </c>
    </row>
    <row r="62" spans="2:12" ht="13.5">
      <c r="B62" s="57">
        <v>10</v>
      </c>
      <c r="C62" s="364">
        <v>88</v>
      </c>
      <c r="D62" s="62">
        <v>14</v>
      </c>
      <c r="E62" s="364">
        <v>88</v>
      </c>
      <c r="F62" s="364">
        <v>27</v>
      </c>
      <c r="G62" s="62">
        <v>27</v>
      </c>
      <c r="H62" s="62">
        <v>70</v>
      </c>
      <c r="I62" s="62">
        <v>88</v>
      </c>
      <c r="J62" s="62">
        <v>27</v>
      </c>
      <c r="K62" s="62">
        <v>71</v>
      </c>
      <c r="L62" s="56">
        <v>88</v>
      </c>
    </row>
    <row r="63" spans="2:12" ht="13.5">
      <c r="B63" s="57">
        <v>11</v>
      </c>
      <c r="C63" s="364">
        <v>106</v>
      </c>
      <c r="D63" s="62">
        <v>18</v>
      </c>
      <c r="E63" s="364">
        <v>106</v>
      </c>
      <c r="F63" s="62">
        <v>35</v>
      </c>
      <c r="G63" s="62">
        <v>27</v>
      </c>
      <c r="H63" s="62">
        <v>70</v>
      </c>
      <c r="I63" s="62">
        <v>106</v>
      </c>
      <c r="J63" s="62">
        <v>35</v>
      </c>
      <c r="K63" s="62">
        <v>71</v>
      </c>
      <c r="L63" s="56">
        <v>106</v>
      </c>
    </row>
    <row r="64" spans="2:12" ht="13.5">
      <c r="B64" s="57">
        <v>12</v>
      </c>
      <c r="C64" s="364">
        <v>126</v>
      </c>
      <c r="D64" s="62">
        <v>22</v>
      </c>
      <c r="E64" s="364">
        <v>126</v>
      </c>
      <c r="F64" s="62">
        <v>43</v>
      </c>
      <c r="G64" s="62">
        <v>27</v>
      </c>
      <c r="H64" s="62">
        <v>70</v>
      </c>
      <c r="I64" s="62">
        <v>126</v>
      </c>
      <c r="J64" s="62">
        <v>43</v>
      </c>
      <c r="K64" s="62">
        <v>71</v>
      </c>
      <c r="L64" s="56">
        <v>126</v>
      </c>
    </row>
    <row r="65" spans="2:12" ht="13.5">
      <c r="B65" s="57">
        <v>13</v>
      </c>
      <c r="C65" s="364">
        <v>147</v>
      </c>
      <c r="D65" s="62">
        <v>26</v>
      </c>
      <c r="E65" s="364">
        <v>147</v>
      </c>
      <c r="F65" s="62">
        <v>51</v>
      </c>
      <c r="G65" s="62">
        <v>27</v>
      </c>
      <c r="H65" s="62">
        <v>70</v>
      </c>
      <c r="I65" s="62">
        <v>147</v>
      </c>
      <c r="J65" s="62">
        <v>51</v>
      </c>
      <c r="K65" s="62">
        <v>71</v>
      </c>
      <c r="L65" s="56">
        <v>147</v>
      </c>
    </row>
    <row r="66" spans="2:12" ht="13.5">
      <c r="B66" s="57">
        <v>14</v>
      </c>
      <c r="C66" s="364">
        <v>170</v>
      </c>
      <c r="D66" s="62">
        <v>30</v>
      </c>
      <c r="E66" s="364">
        <v>170</v>
      </c>
      <c r="F66" s="62">
        <v>59</v>
      </c>
      <c r="G66" s="62">
        <v>27</v>
      </c>
      <c r="H66" s="62">
        <v>70</v>
      </c>
      <c r="I66" s="62">
        <v>170</v>
      </c>
      <c r="J66" s="62">
        <v>59</v>
      </c>
      <c r="K66" s="62">
        <v>71</v>
      </c>
      <c r="L66" s="56">
        <v>170</v>
      </c>
    </row>
    <row r="67" spans="2:12" ht="13.5">
      <c r="B67" s="57">
        <v>15</v>
      </c>
      <c r="C67" s="364">
        <v>195</v>
      </c>
      <c r="D67" s="62">
        <v>35</v>
      </c>
      <c r="E67" s="364">
        <v>195</v>
      </c>
      <c r="F67" s="62">
        <v>67</v>
      </c>
      <c r="G67" s="62">
        <v>27</v>
      </c>
      <c r="H67" s="62">
        <v>70</v>
      </c>
      <c r="I67" s="62">
        <v>195</v>
      </c>
      <c r="J67" s="62">
        <v>67</v>
      </c>
      <c r="K67" s="62">
        <v>71</v>
      </c>
      <c r="L67" s="56">
        <v>195</v>
      </c>
    </row>
    <row r="68" spans="2:12" ht="13.5">
      <c r="B68" s="57">
        <v>16</v>
      </c>
      <c r="C68" s="364">
        <v>221</v>
      </c>
      <c r="D68" s="62">
        <v>40</v>
      </c>
      <c r="E68" s="364">
        <v>221</v>
      </c>
      <c r="F68" s="62">
        <v>79</v>
      </c>
      <c r="G68" s="62">
        <v>27</v>
      </c>
      <c r="H68" s="62">
        <v>70</v>
      </c>
      <c r="I68" s="62">
        <v>221</v>
      </c>
      <c r="J68" s="62">
        <v>79</v>
      </c>
      <c r="K68" s="62">
        <v>71</v>
      </c>
      <c r="L68" s="56">
        <v>221</v>
      </c>
    </row>
    <row r="69" spans="2:12" ht="13.5">
      <c r="B69" s="57">
        <v>17</v>
      </c>
      <c r="C69" s="364">
        <v>250</v>
      </c>
      <c r="D69" s="62">
        <v>45</v>
      </c>
      <c r="E69" s="364">
        <v>250</v>
      </c>
      <c r="F69" s="62">
        <v>91</v>
      </c>
      <c r="G69" s="62">
        <v>27</v>
      </c>
      <c r="H69" s="62">
        <v>70</v>
      </c>
      <c r="I69" s="62">
        <v>250</v>
      </c>
      <c r="J69" s="62">
        <v>91</v>
      </c>
      <c r="K69" s="62">
        <v>71</v>
      </c>
      <c r="L69" s="56">
        <v>250</v>
      </c>
    </row>
    <row r="70" spans="2:12" ht="13.5">
      <c r="B70" s="57">
        <v>18</v>
      </c>
      <c r="C70" s="364">
        <v>280</v>
      </c>
      <c r="D70" s="62">
        <v>50</v>
      </c>
      <c r="E70" s="364">
        <v>280</v>
      </c>
      <c r="F70" s="62">
        <v>103</v>
      </c>
      <c r="G70" s="62">
        <v>27</v>
      </c>
      <c r="H70" s="62">
        <v>70</v>
      </c>
      <c r="I70" s="62">
        <v>280</v>
      </c>
      <c r="J70" s="62">
        <v>103</v>
      </c>
      <c r="K70" s="62">
        <v>71</v>
      </c>
      <c r="L70" s="56">
        <v>280</v>
      </c>
    </row>
    <row r="71" spans="2:12" ht="13.5">
      <c r="B71" s="57">
        <v>19</v>
      </c>
      <c r="C71" s="364">
        <v>311</v>
      </c>
      <c r="D71" s="62">
        <v>55</v>
      </c>
      <c r="E71" s="364">
        <v>311</v>
      </c>
      <c r="F71" s="62">
        <v>115</v>
      </c>
      <c r="G71" s="62">
        <v>27</v>
      </c>
      <c r="H71" s="62">
        <v>70</v>
      </c>
      <c r="I71" s="62">
        <v>311</v>
      </c>
      <c r="J71" s="62">
        <v>115</v>
      </c>
      <c r="K71" s="62">
        <v>71</v>
      </c>
      <c r="L71" s="56">
        <v>311</v>
      </c>
    </row>
    <row r="72" spans="2:12" ht="14.25" thickBot="1">
      <c r="B72" s="276">
        <v>20</v>
      </c>
      <c r="C72" s="369">
        <v>343</v>
      </c>
      <c r="D72" s="277">
        <v>62</v>
      </c>
      <c r="E72" s="369">
        <v>343</v>
      </c>
      <c r="F72" s="277">
        <v>127</v>
      </c>
      <c r="G72" s="277">
        <v>27</v>
      </c>
      <c r="H72" s="277">
        <v>70</v>
      </c>
      <c r="I72" s="277">
        <v>343</v>
      </c>
      <c r="J72" s="277">
        <v>127</v>
      </c>
      <c r="K72" s="277">
        <v>71</v>
      </c>
      <c r="L72" s="366">
        <v>343</v>
      </c>
    </row>
    <row r="74" spans="3:4" ht="13.5">
      <c r="C74">
        <v>1</v>
      </c>
      <c r="D74">
        <v>1</v>
      </c>
    </row>
    <row r="75" spans="4:6" ht="13.5">
      <c r="D75">
        <v>2</v>
      </c>
      <c r="E75" s="278" t="s">
        <v>265</v>
      </c>
      <c r="F75" s="267" t="s">
        <v>245</v>
      </c>
    </row>
    <row r="76" spans="4:6" ht="13.5">
      <c r="D76">
        <v>3</v>
      </c>
      <c r="E76" s="267" t="s">
        <v>266</v>
      </c>
      <c r="F76" s="278" t="s">
        <v>267</v>
      </c>
    </row>
    <row r="77" spans="4:6" ht="13.5">
      <c r="D77">
        <v>4</v>
      </c>
      <c r="E77" s="267" t="s">
        <v>268</v>
      </c>
      <c r="F77" s="278" t="s">
        <v>269</v>
      </c>
    </row>
    <row r="78" spans="4:6" ht="13.5">
      <c r="D78">
        <v>5</v>
      </c>
      <c r="E78" s="267" t="s">
        <v>270</v>
      </c>
      <c r="F78" s="278" t="s">
        <v>271</v>
      </c>
    </row>
    <row r="79" spans="4:6" ht="13.5">
      <c r="D79">
        <v>6</v>
      </c>
      <c r="E79" s="267" t="s">
        <v>272</v>
      </c>
      <c r="F79" s="278" t="s">
        <v>273</v>
      </c>
    </row>
    <row r="80" spans="4:6" ht="13.5">
      <c r="D80">
        <v>7</v>
      </c>
      <c r="E80" s="267" t="s">
        <v>274</v>
      </c>
      <c r="F80" s="278" t="s">
        <v>275</v>
      </c>
    </row>
  </sheetData>
  <sheetProtection/>
  <mergeCells count="32">
    <mergeCell ref="A2:A3"/>
    <mergeCell ref="B2:B3"/>
    <mergeCell ref="E2:E3"/>
    <mergeCell ref="F2:I3"/>
    <mergeCell ref="E4:E5"/>
    <mergeCell ref="F4:I5"/>
    <mergeCell ref="A5:A6"/>
    <mergeCell ref="B5:B6"/>
    <mergeCell ref="E7:E8"/>
    <mergeCell ref="F7:I8"/>
    <mergeCell ref="A8:A9"/>
    <mergeCell ref="B8:B9"/>
    <mergeCell ref="E9:E10"/>
    <mergeCell ref="F9:I10"/>
    <mergeCell ref="A10:A11"/>
    <mergeCell ref="B10:B11"/>
    <mergeCell ref="E11:E12"/>
    <mergeCell ref="F11:I12"/>
    <mergeCell ref="A13:A14"/>
    <mergeCell ref="B13:B14"/>
    <mergeCell ref="E13:E14"/>
    <mergeCell ref="F13:F14"/>
    <mergeCell ref="G13:G14"/>
    <mergeCell ref="I13:I14"/>
    <mergeCell ref="J9:J10"/>
    <mergeCell ref="K9:L10"/>
    <mergeCell ref="J2:J3"/>
    <mergeCell ref="K2:K3"/>
    <mergeCell ref="J4:J5"/>
    <mergeCell ref="K4:K5"/>
    <mergeCell ref="J6:J7"/>
    <mergeCell ref="K6:K7"/>
  </mergeCells>
  <printOptions/>
  <pageMargins left="0.787" right="0.787" top="0.984" bottom="0.984" header="0.512" footer="0.512"/>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1:DL261"/>
  <sheetViews>
    <sheetView tabSelected="1" zoomScale="75" zoomScaleNormal="75" zoomScaleSheetLayoutView="100" zoomScalePageLayoutView="0" workbookViewId="0" topLeftCell="A1">
      <selection activeCell="A1" sqref="A1:AH2"/>
    </sheetView>
  </sheetViews>
  <sheetFormatPr defaultColWidth="1.875" defaultRowHeight="9.75" customHeight="1" outlineLevelCol="3"/>
  <cols>
    <col min="1" max="101" width="1.875" style="181" customWidth="1" outlineLevel="3"/>
    <col min="102" max="106" width="1.875" style="344" customWidth="1" outlineLevel="3"/>
    <col min="107" max="108" width="1.875" style="186" customWidth="1" outlineLevel="3"/>
    <col min="109" max="113" width="1.875" style="351" customWidth="1" outlineLevel="3"/>
    <col min="114" max="115" width="6.375" style="187" customWidth="1" outlineLevel="3"/>
    <col min="116" max="116" width="9.625" style="187" bestFit="1" customWidth="1" outlineLevel="3"/>
    <col min="117" max="16384" width="1.875" style="181" customWidth="1"/>
  </cols>
  <sheetData>
    <row r="1" spans="1:116" s="161" customFormat="1" ht="10.5" customHeight="1">
      <c r="A1" s="1346" t="str">
        <f>IF('能力'!H3=0," ",'能力'!H3)&amp;IF('能力'!H13=0," "," / ")&amp;IF('能力'!H13=0," ",'能力'!H13)</f>
        <v>   </v>
      </c>
      <c r="B1" s="1346"/>
      <c r="C1" s="1346"/>
      <c r="D1" s="1346"/>
      <c r="E1" s="1346"/>
      <c r="F1" s="1346"/>
      <c r="G1" s="1346"/>
      <c r="H1" s="1346"/>
      <c r="I1" s="1346"/>
      <c r="J1" s="1346"/>
      <c r="K1" s="1346"/>
      <c r="L1" s="1346"/>
      <c r="M1" s="1346"/>
      <c r="N1" s="1346"/>
      <c r="O1" s="1346"/>
      <c r="P1" s="1346"/>
      <c r="Q1" s="1346"/>
      <c r="R1" s="1346"/>
      <c r="S1" s="1346"/>
      <c r="T1" s="1346"/>
      <c r="U1" s="1346"/>
      <c r="V1" s="1346"/>
      <c r="W1" s="1346"/>
      <c r="X1" s="1346"/>
      <c r="Y1" s="1346"/>
      <c r="Z1" s="1346"/>
      <c r="AA1" s="1346"/>
      <c r="AB1" s="1346"/>
      <c r="AC1" s="1346"/>
      <c r="AD1" s="1346"/>
      <c r="AE1" s="1346"/>
      <c r="AF1" s="1346"/>
      <c r="AG1" s="1346"/>
      <c r="AH1" s="1346"/>
      <c r="AI1" s="441"/>
      <c r="AJ1" s="1504" t="str">
        <f>IF('能力'!H8=0," ",'能力'!H8)</f>
        <v> </v>
      </c>
      <c r="AK1" s="1504"/>
      <c r="AL1" s="1504"/>
      <c r="AM1" s="1504"/>
      <c r="AN1" s="1504"/>
      <c r="AO1" s="1504"/>
      <c r="AP1" s="434"/>
      <c r="AQ1" s="1504" t="str">
        <f>IF('能力'!H4=0," ",'能力'!H4)</f>
        <v> </v>
      </c>
      <c r="AR1" s="1504"/>
      <c r="AS1" s="1504"/>
      <c r="AT1" s="1504"/>
      <c r="AU1" s="1504"/>
      <c r="AV1" s="1504"/>
      <c r="AW1" s="1504"/>
      <c r="AX1" s="1504"/>
      <c r="AY1" s="1504"/>
      <c r="AZ1" s="1504"/>
      <c r="BA1" s="1504"/>
      <c r="BB1" s="1504"/>
      <c r="BC1" s="1504"/>
      <c r="BD1" s="1504"/>
      <c r="BE1" s="1504"/>
      <c r="BF1" s="1504"/>
      <c r="BG1" s="1504"/>
      <c r="BH1" s="1504"/>
      <c r="BI1" s="1504"/>
      <c r="BJ1" s="1504"/>
      <c r="BK1" s="1504"/>
      <c r="BL1" s="1504"/>
      <c r="BM1" s="163"/>
      <c r="BN1" s="164"/>
      <c r="BO1" s="165"/>
      <c r="BP1" s="165"/>
      <c r="BQ1" s="165"/>
      <c r="BR1" s="165"/>
      <c r="BS1" s="165"/>
      <c r="BT1" s="165"/>
      <c r="BU1" s="165"/>
      <c r="BV1" s="165"/>
      <c r="BW1" s="165"/>
      <c r="BX1" s="165"/>
      <c r="BY1" s="165"/>
      <c r="BZ1" s="165"/>
      <c r="CA1" s="165"/>
      <c r="CB1" s="165"/>
      <c r="CC1" s="165"/>
      <c r="CD1" s="165"/>
      <c r="CE1" s="165"/>
      <c r="CF1" s="165"/>
      <c r="CG1" s="165"/>
      <c r="CH1" s="166"/>
      <c r="DC1" s="350"/>
      <c r="DD1" s="350"/>
      <c r="DE1" s="350"/>
      <c r="DF1" s="350"/>
      <c r="DG1" s="350"/>
      <c r="DH1" s="350"/>
      <c r="DI1" s="350"/>
      <c r="DJ1" s="171"/>
      <c r="DK1" s="171"/>
      <c r="DL1" s="171"/>
    </row>
    <row r="2" spans="1:116" s="161" customFormat="1" ht="10.5" customHeight="1" thickBot="1">
      <c r="A2" s="1347"/>
      <c r="B2" s="1347"/>
      <c r="C2" s="1347"/>
      <c r="D2" s="1347"/>
      <c r="E2" s="1347"/>
      <c r="F2" s="1347"/>
      <c r="G2" s="1347"/>
      <c r="H2" s="1347"/>
      <c r="I2" s="1347"/>
      <c r="J2" s="1347"/>
      <c r="K2" s="1347"/>
      <c r="L2" s="1347"/>
      <c r="M2" s="1347"/>
      <c r="N2" s="1347"/>
      <c r="O2" s="1347"/>
      <c r="P2" s="1347"/>
      <c r="Q2" s="1347"/>
      <c r="R2" s="1347"/>
      <c r="S2" s="1347"/>
      <c r="T2" s="1347"/>
      <c r="U2" s="1347"/>
      <c r="V2" s="1347"/>
      <c r="W2" s="1347"/>
      <c r="X2" s="1347"/>
      <c r="Y2" s="1347"/>
      <c r="Z2" s="1347"/>
      <c r="AA2" s="1347"/>
      <c r="AB2" s="1347"/>
      <c r="AC2" s="1347"/>
      <c r="AD2" s="1347"/>
      <c r="AE2" s="1347"/>
      <c r="AF2" s="1347"/>
      <c r="AG2" s="1347"/>
      <c r="AH2" s="1347"/>
      <c r="AI2" s="441"/>
      <c r="AJ2" s="1547"/>
      <c r="AK2" s="1547"/>
      <c r="AL2" s="1547"/>
      <c r="AM2" s="1547"/>
      <c r="AN2" s="1547"/>
      <c r="AO2" s="1547"/>
      <c r="AP2" s="434"/>
      <c r="AQ2" s="1547"/>
      <c r="AR2" s="1547"/>
      <c r="AS2" s="1547"/>
      <c r="AT2" s="1547"/>
      <c r="AU2" s="1547"/>
      <c r="AV2" s="1547"/>
      <c r="AW2" s="1547"/>
      <c r="AX2" s="1547"/>
      <c r="AY2" s="1547"/>
      <c r="AZ2" s="1547"/>
      <c r="BA2" s="1547"/>
      <c r="BB2" s="1547"/>
      <c r="BC2" s="1547"/>
      <c r="BD2" s="1547"/>
      <c r="BE2" s="1547"/>
      <c r="BF2" s="1547"/>
      <c r="BG2" s="1547"/>
      <c r="BH2" s="1547"/>
      <c r="BI2" s="1547"/>
      <c r="BJ2" s="1547"/>
      <c r="BK2" s="1547"/>
      <c r="BL2" s="1547"/>
      <c r="BM2" s="163"/>
      <c r="BN2" s="167"/>
      <c r="BO2" s="163"/>
      <c r="BP2" s="163"/>
      <c r="BQ2" s="163"/>
      <c r="BR2" s="163"/>
      <c r="BS2" s="163"/>
      <c r="BT2" s="163"/>
      <c r="BU2" s="163"/>
      <c r="BV2" s="163"/>
      <c r="BW2" s="163"/>
      <c r="BX2" s="163"/>
      <c r="BY2" s="163"/>
      <c r="BZ2" s="163"/>
      <c r="CA2" s="163"/>
      <c r="CB2" s="163"/>
      <c r="CC2" s="163"/>
      <c r="CD2" s="163"/>
      <c r="CE2" s="163"/>
      <c r="CF2" s="163"/>
      <c r="CG2" s="163"/>
      <c r="CH2" s="168"/>
      <c r="DC2" s="350"/>
      <c r="DD2" s="350"/>
      <c r="DE2" s="350"/>
      <c r="DF2" s="350"/>
      <c r="DG2" s="350"/>
      <c r="DH2" s="350"/>
      <c r="DI2" s="350"/>
      <c r="DJ2" s="171"/>
      <c r="DK2" s="171">
        <f>IF('能力'!AM19="","",CONCATENATE(" ［"))&amp;IF('能力'!AS19=0,"",CONCATENATE("+",'能力'!AS19,"HD"))&amp;IF('能力'!AS19*'能力'!AS20&lt;1,"",CONCATENATE("/"))&amp;IF('能力'!AS20=0,"",CONCATENATE("LA+",'能力'!AS20))&amp;IF('能力'!AM19="","",CONCATENATE("］"))</f>
      </c>
      <c r="DL2" s="171"/>
    </row>
    <row r="3" spans="1:116" s="161" customFormat="1" ht="10.5" customHeight="1">
      <c r="A3" s="434" t="s">
        <v>653</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41"/>
      <c r="AD3" s="441"/>
      <c r="AE3" s="441"/>
      <c r="AF3" s="441"/>
      <c r="AG3" s="441"/>
      <c r="AH3" s="441"/>
      <c r="AI3" s="441"/>
      <c r="AJ3" s="434" t="s">
        <v>654</v>
      </c>
      <c r="AK3" s="434"/>
      <c r="AL3" s="434"/>
      <c r="AM3" s="441"/>
      <c r="AN3" s="434"/>
      <c r="AO3" s="434"/>
      <c r="AP3" s="434"/>
      <c r="AQ3" s="434" t="s">
        <v>655</v>
      </c>
      <c r="AR3" s="434"/>
      <c r="AS3" s="434"/>
      <c r="AT3" s="434"/>
      <c r="AU3" s="434"/>
      <c r="AV3" s="434"/>
      <c r="AW3" s="434"/>
      <c r="AX3" s="434"/>
      <c r="AY3" s="434"/>
      <c r="AZ3" s="434"/>
      <c r="BA3" s="434"/>
      <c r="BB3" s="434"/>
      <c r="BC3" s="434"/>
      <c r="BD3" s="434"/>
      <c r="BE3" s="434"/>
      <c r="BF3" s="434"/>
      <c r="BG3" s="434"/>
      <c r="BH3" s="434"/>
      <c r="BI3" s="434"/>
      <c r="BJ3" s="434"/>
      <c r="BK3" s="434"/>
      <c r="BL3" s="441"/>
      <c r="BM3" s="163"/>
      <c r="BN3" s="167"/>
      <c r="BO3" s="163"/>
      <c r="BP3" s="163"/>
      <c r="BQ3" s="163"/>
      <c r="BR3" s="163"/>
      <c r="BS3" s="163"/>
      <c r="BT3" s="163"/>
      <c r="BU3" s="163"/>
      <c r="BV3" s="163"/>
      <c r="BW3" s="163"/>
      <c r="BX3" s="163"/>
      <c r="BY3" s="163"/>
      <c r="BZ3" s="163"/>
      <c r="CA3" s="163"/>
      <c r="CB3" s="163"/>
      <c r="CC3" s="163"/>
      <c r="CD3" s="163"/>
      <c r="CE3" s="163"/>
      <c r="CF3" s="163"/>
      <c r="CG3" s="163"/>
      <c r="CH3" s="168"/>
      <c r="DC3" s="350"/>
      <c r="DD3" s="350"/>
      <c r="DE3" s="350"/>
      <c r="DF3" s="350"/>
      <c r="DG3" s="350"/>
      <c r="DH3" s="350"/>
      <c r="DI3" s="350"/>
      <c r="DJ3" s="171"/>
      <c r="DK3" s="171"/>
      <c r="DL3" s="171"/>
    </row>
    <row r="4" spans="1:116" s="161" customFormat="1" ht="10.5" customHeight="1">
      <c r="A4" s="1504" t="str">
        <f>CONCATENATE(IF('能力'!AM21=0,"",CONCATENATE('能力'!AM21,'能力'!AS21)),IF('能力'!AM22=0,"",CONCATENATE(" / ",'能力'!AM22,'能力'!AS22)),IF('能力'!AM23=0,"",CONCATENATE(" / ",'能力'!AM23,'能力'!AS23)),IF('能力'!AM24=0,"",CONCATENATE(" / ",'能力'!AM24,'能力'!AS24)),IF('能力'!AM25=0,"",CONCATENATE(" / ",'能力'!AM25,'能力'!AS25)),IF('能力'!AM26=0,"",CONCATENATE(" / ",'能力'!AM26,'能力'!AS26)),IF('能力'!AM27=0,"",CONCATENATE(" / ",'能力'!AM27,'能力'!AS27)),IF('能力'!AS19+'能力'!AS20=0,"",IF('能力'!AS28='能力'!AS19+'能力'!AS20,"",IF('能力'!AS19=0,""," / "))),IF('能力'!AS19=0,"",CONCATENATE('能力'!H6,'能力'!AS19)),IF('能力'!AS28='能力'!AS20,"",IF('能力'!AS20=0,""," / ")),IF('能力'!AS20=0,"",CONCATENATE("LA＋",'能力'!AS20)))</f>
        <v>Barbarian(Armored Hulk)11</v>
      </c>
      <c r="B4" s="1504"/>
      <c r="C4" s="1504"/>
      <c r="D4" s="1504"/>
      <c r="E4" s="1504"/>
      <c r="F4" s="1504"/>
      <c r="G4" s="1504"/>
      <c r="H4" s="1504"/>
      <c r="I4" s="1504"/>
      <c r="J4" s="1504"/>
      <c r="K4" s="1504"/>
      <c r="L4" s="1504"/>
      <c r="M4" s="1504"/>
      <c r="N4" s="1504"/>
      <c r="O4" s="1504"/>
      <c r="P4" s="1504"/>
      <c r="Q4" s="1504"/>
      <c r="R4" s="1504"/>
      <c r="S4" s="1504"/>
      <c r="T4" s="1504"/>
      <c r="U4" s="1504"/>
      <c r="V4" s="1504"/>
      <c r="W4" s="1504"/>
      <c r="X4" s="1504"/>
      <c r="Y4" s="1504"/>
      <c r="Z4" s="1504"/>
      <c r="AA4" s="1504"/>
      <c r="AB4" s="1504"/>
      <c r="AC4" s="1504"/>
      <c r="AD4" s="1504"/>
      <c r="AE4" s="1504"/>
      <c r="AF4" s="1504"/>
      <c r="AG4" s="1504"/>
      <c r="AH4" s="1504"/>
      <c r="AI4" s="441"/>
      <c r="AJ4" s="1276" t="str">
        <f>INDEX('能力'!$BS$5:$BS$13,'能力'!$H$12)</f>
        <v>True Neutral</v>
      </c>
      <c r="AK4" s="1276"/>
      <c r="AL4" s="1276"/>
      <c r="AM4" s="1276"/>
      <c r="AN4" s="1276"/>
      <c r="AO4" s="1276"/>
      <c r="AP4" s="1276"/>
      <c r="AQ4" s="1276"/>
      <c r="AR4" s="1276"/>
      <c r="AS4" s="1276"/>
      <c r="AT4" s="1276"/>
      <c r="AU4" s="434"/>
      <c r="AV4" s="1504" t="str">
        <f>IF('能力'!$H$11=0," ",'能力'!$H$11)</f>
        <v> </v>
      </c>
      <c r="AW4" s="1504"/>
      <c r="AX4" s="1504"/>
      <c r="AY4" s="1504"/>
      <c r="AZ4" s="1504"/>
      <c r="BA4" s="1504"/>
      <c r="BB4" s="1504"/>
      <c r="BC4" s="1504"/>
      <c r="BD4" s="1504"/>
      <c r="BE4" s="1504"/>
      <c r="BF4" s="1504"/>
      <c r="BG4" s="1504"/>
      <c r="BH4" s="1504"/>
      <c r="BI4" s="1504"/>
      <c r="BJ4" s="1504"/>
      <c r="BK4" s="1504"/>
      <c r="BL4" s="1504"/>
      <c r="BM4" s="169"/>
      <c r="BN4" s="170"/>
      <c r="BO4" s="169"/>
      <c r="BP4" s="169"/>
      <c r="BQ4" s="169"/>
      <c r="BR4" s="169"/>
      <c r="CB4" s="169"/>
      <c r="CC4" s="169"/>
      <c r="CD4" s="169"/>
      <c r="CE4" s="169"/>
      <c r="CF4" s="169"/>
      <c r="CG4" s="169"/>
      <c r="CH4" s="168"/>
      <c r="DC4" s="350"/>
      <c r="DD4" s="350"/>
      <c r="DE4" s="350"/>
      <c r="DF4" s="350"/>
      <c r="DG4" s="350"/>
      <c r="DH4" s="350"/>
      <c r="DI4" s="350"/>
      <c r="DJ4" s="171"/>
      <c r="DK4" s="171"/>
      <c r="DL4" s="171"/>
    </row>
    <row r="5" spans="1:116" s="161" customFormat="1" ht="10.5" customHeight="1" thickBot="1">
      <c r="A5" s="1547"/>
      <c r="B5" s="1547"/>
      <c r="C5" s="1547"/>
      <c r="D5" s="1547"/>
      <c r="E5" s="1547"/>
      <c r="F5" s="1547"/>
      <c r="G5" s="1547"/>
      <c r="H5" s="1547"/>
      <c r="I5" s="1547"/>
      <c r="J5" s="1547"/>
      <c r="K5" s="1547"/>
      <c r="L5" s="1547"/>
      <c r="M5" s="1547"/>
      <c r="N5" s="1547"/>
      <c r="O5" s="1547"/>
      <c r="P5" s="1547"/>
      <c r="Q5" s="1547"/>
      <c r="R5" s="1547"/>
      <c r="S5" s="1547"/>
      <c r="T5" s="1547"/>
      <c r="U5" s="1547"/>
      <c r="V5" s="1547"/>
      <c r="W5" s="1547"/>
      <c r="X5" s="1547"/>
      <c r="Y5" s="1547"/>
      <c r="Z5" s="1547"/>
      <c r="AA5" s="1547"/>
      <c r="AB5" s="1547"/>
      <c r="AC5" s="1547"/>
      <c r="AD5" s="1547"/>
      <c r="AE5" s="1547"/>
      <c r="AF5" s="1547"/>
      <c r="AG5" s="1547"/>
      <c r="AH5" s="1547"/>
      <c r="AI5" s="441"/>
      <c r="AJ5" s="1548"/>
      <c r="AK5" s="1548"/>
      <c r="AL5" s="1548"/>
      <c r="AM5" s="1548"/>
      <c r="AN5" s="1548"/>
      <c r="AO5" s="1548"/>
      <c r="AP5" s="1548"/>
      <c r="AQ5" s="1548"/>
      <c r="AR5" s="1548"/>
      <c r="AS5" s="1548"/>
      <c r="AT5" s="1548"/>
      <c r="AU5" s="434"/>
      <c r="AV5" s="1547"/>
      <c r="AW5" s="1547"/>
      <c r="AX5" s="1547"/>
      <c r="AY5" s="1547"/>
      <c r="AZ5" s="1547"/>
      <c r="BA5" s="1547"/>
      <c r="BB5" s="1547"/>
      <c r="BC5" s="1547"/>
      <c r="BD5" s="1547"/>
      <c r="BE5" s="1547"/>
      <c r="BF5" s="1547"/>
      <c r="BG5" s="1547"/>
      <c r="BH5" s="1547"/>
      <c r="BI5" s="1547"/>
      <c r="BJ5" s="1547"/>
      <c r="BK5" s="1547"/>
      <c r="BL5" s="1547"/>
      <c r="BM5" s="169"/>
      <c r="BN5" s="170"/>
      <c r="BO5" s="169"/>
      <c r="BP5" s="169"/>
      <c r="BQ5" s="169"/>
      <c r="BR5" s="169"/>
      <c r="CB5" s="169"/>
      <c r="CC5" s="169"/>
      <c r="CD5" s="169"/>
      <c r="CE5" s="169"/>
      <c r="CF5" s="169"/>
      <c r="CG5" s="169"/>
      <c r="CH5" s="168"/>
      <c r="DC5" s="350"/>
      <c r="DD5" s="350"/>
      <c r="DE5" s="350"/>
      <c r="DF5" s="350"/>
      <c r="DG5" s="350"/>
      <c r="DH5" s="350"/>
      <c r="DI5" s="350"/>
      <c r="DJ5" s="171"/>
      <c r="DK5" s="171"/>
      <c r="DL5" s="171"/>
    </row>
    <row r="6" spans="1:116" s="161" customFormat="1" ht="10.5" customHeight="1">
      <c r="A6" s="434" t="s">
        <v>656</v>
      </c>
      <c r="B6" s="434"/>
      <c r="C6" s="434"/>
      <c r="D6" s="434"/>
      <c r="E6" s="434"/>
      <c r="F6" s="434"/>
      <c r="G6" s="434"/>
      <c r="H6" s="434"/>
      <c r="I6" s="434"/>
      <c r="J6" s="434"/>
      <c r="K6" s="434"/>
      <c r="L6" s="434"/>
      <c r="M6" s="434"/>
      <c r="N6" s="434"/>
      <c r="O6" s="434"/>
      <c r="P6" s="446"/>
      <c r="Q6" s="446"/>
      <c r="R6" s="446"/>
      <c r="S6" s="446"/>
      <c r="T6" s="446"/>
      <c r="U6" s="446"/>
      <c r="V6" s="446"/>
      <c r="W6" s="446"/>
      <c r="X6" s="446"/>
      <c r="Y6" s="441"/>
      <c r="Z6" s="434"/>
      <c r="AA6" s="434"/>
      <c r="AB6" s="434"/>
      <c r="AC6" s="441"/>
      <c r="AD6" s="441"/>
      <c r="AE6" s="441"/>
      <c r="AF6" s="441"/>
      <c r="AG6" s="441"/>
      <c r="AH6" s="441"/>
      <c r="AI6" s="434"/>
      <c r="AJ6" s="434" t="s">
        <v>657</v>
      </c>
      <c r="AK6" s="434"/>
      <c r="AL6" s="441"/>
      <c r="AM6" s="446"/>
      <c r="AN6" s="446"/>
      <c r="AO6" s="446"/>
      <c r="AP6" s="446"/>
      <c r="AQ6" s="446"/>
      <c r="AR6" s="446"/>
      <c r="AS6" s="446"/>
      <c r="AT6" s="446"/>
      <c r="AU6" s="446"/>
      <c r="AV6" s="434" t="s">
        <v>658</v>
      </c>
      <c r="AW6" s="434"/>
      <c r="AX6" s="434"/>
      <c r="AY6" s="434"/>
      <c r="AZ6" s="434"/>
      <c r="BA6" s="434"/>
      <c r="BB6" s="434"/>
      <c r="BC6" s="434"/>
      <c r="BD6" s="434"/>
      <c r="BE6" s="434"/>
      <c r="BF6" s="434"/>
      <c r="BG6" s="434"/>
      <c r="BH6" s="434"/>
      <c r="BI6" s="434"/>
      <c r="BJ6" s="434"/>
      <c r="BK6" s="434"/>
      <c r="BL6" s="441"/>
      <c r="BM6" s="163"/>
      <c r="BN6" s="167"/>
      <c r="BO6" s="163"/>
      <c r="BP6" s="163"/>
      <c r="BQ6" s="163"/>
      <c r="BR6" s="163"/>
      <c r="CB6" s="163"/>
      <c r="CC6" s="163"/>
      <c r="CD6" s="163"/>
      <c r="CE6" s="163"/>
      <c r="CF6" s="163"/>
      <c r="CG6" s="163"/>
      <c r="CH6" s="168"/>
      <c r="DC6" s="350"/>
      <c r="DD6" s="350"/>
      <c r="DE6" s="350"/>
      <c r="DF6" s="350"/>
      <c r="DG6" s="350"/>
      <c r="DH6" s="350"/>
      <c r="DI6" s="350"/>
      <c r="DJ6" s="171"/>
      <c r="DK6" s="171"/>
      <c r="DL6" s="171"/>
    </row>
    <row r="7" spans="1:116" s="161" customFormat="1" ht="10.5" customHeight="1">
      <c r="A7" s="1504">
        <f>CONCATENATE(IF('能力'!H5="","",'能力'!H5&amp;" / ")&amp;IF('能力'!H6="","",'能力'!H6)&amp;IF('能力'!H7="","",CONCATENATE(,"（",'能力'!H7,"）")))</f>
      </c>
      <c r="B7" s="1504"/>
      <c r="C7" s="1504"/>
      <c r="D7" s="1504"/>
      <c r="E7" s="1504"/>
      <c r="F7" s="1504"/>
      <c r="G7" s="1504"/>
      <c r="H7" s="1504"/>
      <c r="I7" s="1504"/>
      <c r="J7" s="1504"/>
      <c r="K7" s="1504"/>
      <c r="L7" s="1504"/>
      <c r="M7" s="1504"/>
      <c r="N7" s="1504"/>
      <c r="O7" s="1504"/>
      <c r="P7" s="1504"/>
      <c r="Q7" s="1504"/>
      <c r="R7" s="1504"/>
      <c r="S7" s="1504"/>
      <c r="T7" s="447"/>
      <c r="U7" s="1276" t="str">
        <f>INDEX('能力'!$BQ$5:$BQ$13,'能力'!$BR$5)</f>
        <v>Medium</v>
      </c>
      <c r="V7" s="1276"/>
      <c r="W7" s="1276"/>
      <c r="X7" s="1276"/>
      <c r="Y7" s="1276"/>
      <c r="Z7" s="1276"/>
      <c r="AA7" s="1276"/>
      <c r="AB7" s="441"/>
      <c r="AC7" s="1504" t="str">
        <f>IF('能力'!AE6=0," ",'能力'!AE6)</f>
        <v> </v>
      </c>
      <c r="AD7" s="1504"/>
      <c r="AE7" s="1504"/>
      <c r="AF7" s="1504"/>
      <c r="AG7" s="1504"/>
      <c r="AH7" s="1504"/>
      <c r="AI7" s="441"/>
      <c r="AJ7" s="1504" t="str">
        <f>IF('能力'!AF3=0," ",'能力'!AF3)</f>
        <v> </v>
      </c>
      <c r="AK7" s="1504"/>
      <c r="AL7" s="1504"/>
      <c r="AM7" s="1504"/>
      <c r="AN7" s="1504"/>
      <c r="AO7" s="1504"/>
      <c r="AP7" s="441"/>
      <c r="AQ7" s="1504" t="str">
        <f>IF('能力'!AF4=0," ",'能力'!AF4)&amp;IF('能力'!AF4=0," "," Ib")</f>
        <v>  </v>
      </c>
      <c r="AR7" s="1504"/>
      <c r="AS7" s="1504"/>
      <c r="AT7" s="1504"/>
      <c r="AU7" s="1504"/>
      <c r="AV7" s="1504"/>
      <c r="AW7" s="441"/>
      <c r="AX7" s="1504" t="str">
        <f>IF('能力'!AE7=0," ",'能力'!AE7)</f>
        <v> </v>
      </c>
      <c r="AY7" s="1504"/>
      <c r="AZ7" s="1504"/>
      <c r="BA7" s="1504"/>
      <c r="BB7" s="1504"/>
      <c r="BC7" s="441"/>
      <c r="BD7" s="1504" t="str">
        <f>IF('能力'!AE8=0," ",'能力'!AE8)</f>
        <v> </v>
      </c>
      <c r="BE7" s="1504"/>
      <c r="BF7" s="1504"/>
      <c r="BG7" s="1504"/>
      <c r="BH7" s="441"/>
      <c r="BI7" s="1504" t="str">
        <f>IF('能力'!AE9=0," ",'能力'!AE9)</f>
        <v> </v>
      </c>
      <c r="BJ7" s="1504"/>
      <c r="BK7" s="1504"/>
      <c r="BL7" s="1504"/>
      <c r="BM7" s="163"/>
      <c r="BN7" s="167"/>
      <c r="BO7" s="163"/>
      <c r="BP7" s="163"/>
      <c r="BQ7" s="163"/>
      <c r="BR7" s="163"/>
      <c r="BS7" s="163"/>
      <c r="BT7" s="163"/>
      <c r="BU7" s="163"/>
      <c r="BV7" s="163"/>
      <c r="BW7" s="163"/>
      <c r="BX7" s="163"/>
      <c r="BY7" s="163"/>
      <c r="BZ7" s="163"/>
      <c r="CA7" s="163"/>
      <c r="CB7" s="163"/>
      <c r="CC7" s="163"/>
      <c r="CD7" s="163"/>
      <c r="CE7" s="163"/>
      <c r="CF7" s="163"/>
      <c r="CG7" s="163"/>
      <c r="CH7" s="168"/>
      <c r="DC7" s="350"/>
      <c r="DD7" s="350"/>
      <c r="DE7" s="354"/>
      <c r="DF7" s="355"/>
      <c r="DG7" s="356"/>
      <c r="DH7" s="356"/>
      <c r="DI7" s="356"/>
      <c r="DJ7" s="357"/>
      <c r="DK7" s="357"/>
      <c r="DL7" s="357"/>
    </row>
    <row r="8" spans="1:116" s="161" customFormat="1" ht="10.5" customHeight="1" thickBot="1">
      <c r="A8" s="1547"/>
      <c r="B8" s="1547"/>
      <c r="C8" s="1547"/>
      <c r="D8" s="1547"/>
      <c r="E8" s="1547"/>
      <c r="F8" s="1547"/>
      <c r="G8" s="1547"/>
      <c r="H8" s="1547"/>
      <c r="I8" s="1547"/>
      <c r="J8" s="1547"/>
      <c r="K8" s="1547"/>
      <c r="L8" s="1547"/>
      <c r="M8" s="1547"/>
      <c r="N8" s="1547"/>
      <c r="O8" s="1547"/>
      <c r="P8" s="1547"/>
      <c r="Q8" s="1547"/>
      <c r="R8" s="1547"/>
      <c r="S8" s="1547"/>
      <c r="T8" s="448"/>
      <c r="U8" s="1548"/>
      <c r="V8" s="1548"/>
      <c r="W8" s="1548"/>
      <c r="X8" s="1548"/>
      <c r="Y8" s="1548"/>
      <c r="Z8" s="1548"/>
      <c r="AA8" s="1548"/>
      <c r="AB8" s="441"/>
      <c r="AC8" s="1549"/>
      <c r="AD8" s="1549"/>
      <c r="AE8" s="1549"/>
      <c r="AF8" s="1549"/>
      <c r="AG8" s="1549"/>
      <c r="AH8" s="1549"/>
      <c r="AI8" s="441"/>
      <c r="AJ8" s="1549"/>
      <c r="AK8" s="1549"/>
      <c r="AL8" s="1549"/>
      <c r="AM8" s="1549"/>
      <c r="AN8" s="1549"/>
      <c r="AO8" s="1549"/>
      <c r="AP8" s="441"/>
      <c r="AQ8" s="1549"/>
      <c r="AR8" s="1549"/>
      <c r="AS8" s="1549"/>
      <c r="AT8" s="1549"/>
      <c r="AU8" s="1549"/>
      <c r="AV8" s="1549"/>
      <c r="AW8" s="441"/>
      <c r="AX8" s="1549"/>
      <c r="AY8" s="1549"/>
      <c r="AZ8" s="1549"/>
      <c r="BA8" s="1549"/>
      <c r="BB8" s="1549"/>
      <c r="BC8" s="441"/>
      <c r="BD8" s="1549"/>
      <c r="BE8" s="1549"/>
      <c r="BF8" s="1549"/>
      <c r="BG8" s="1549"/>
      <c r="BH8" s="441"/>
      <c r="BI8" s="1549"/>
      <c r="BJ8" s="1549"/>
      <c r="BK8" s="1549"/>
      <c r="BL8" s="1549"/>
      <c r="BM8" s="163"/>
      <c r="BN8" s="167"/>
      <c r="BO8" s="163"/>
      <c r="BP8" s="163"/>
      <c r="BQ8" s="163"/>
      <c r="BR8" s="163"/>
      <c r="CB8" s="163"/>
      <c r="CC8" s="163"/>
      <c r="CD8" s="163"/>
      <c r="CE8" s="163"/>
      <c r="CF8" s="163"/>
      <c r="CG8" s="163"/>
      <c r="CH8" s="168"/>
      <c r="DC8" s="350"/>
      <c r="DD8" s="350"/>
      <c r="DE8" s="354"/>
      <c r="DF8" s="355"/>
      <c r="DG8" s="356"/>
      <c r="DH8" s="356"/>
      <c r="DI8" s="356"/>
      <c r="DJ8" s="357"/>
      <c r="DK8" s="357"/>
      <c r="DL8" s="357"/>
    </row>
    <row r="9" spans="1:116" s="161" customFormat="1" ht="10.5" customHeight="1">
      <c r="A9" s="449" t="s">
        <v>659</v>
      </c>
      <c r="B9" s="432"/>
      <c r="C9" s="432"/>
      <c r="D9" s="432"/>
      <c r="E9" s="432"/>
      <c r="F9" s="432"/>
      <c r="G9" s="432"/>
      <c r="H9" s="432"/>
      <c r="I9" s="432"/>
      <c r="J9" s="432"/>
      <c r="K9" s="432"/>
      <c r="L9" s="432"/>
      <c r="M9" s="432"/>
      <c r="N9" s="432"/>
      <c r="O9" s="432"/>
      <c r="P9" s="434"/>
      <c r="Q9" s="441"/>
      <c r="R9" s="441"/>
      <c r="S9" s="441"/>
      <c r="T9" s="441"/>
      <c r="U9" s="450" t="s">
        <v>660</v>
      </c>
      <c r="V9" s="451"/>
      <c r="W9" s="451"/>
      <c r="X9" s="451">
        <f>'能力'!$BR$5-5</f>
        <v>0</v>
      </c>
      <c r="Y9" s="451">
        <f>INT(2^(ABS(X9)-1))*IF(X9&lt;0,1,-1)</f>
        <v>0</v>
      </c>
      <c r="Z9" s="451">
        <f>X9+5</f>
        <v>5</v>
      </c>
      <c r="AA9" s="452"/>
      <c r="AB9" s="452"/>
      <c r="AC9" s="449" t="s">
        <v>661</v>
      </c>
      <c r="AD9" s="432"/>
      <c r="AE9" s="434"/>
      <c r="AF9" s="441"/>
      <c r="AG9" s="432"/>
      <c r="AH9" s="432"/>
      <c r="AI9" s="432"/>
      <c r="AJ9" s="449" t="s">
        <v>662</v>
      </c>
      <c r="AK9" s="432"/>
      <c r="AL9" s="432"/>
      <c r="AM9" s="435"/>
      <c r="AN9" s="441"/>
      <c r="AO9" s="432"/>
      <c r="AP9" s="432"/>
      <c r="AQ9" s="449" t="s">
        <v>663</v>
      </c>
      <c r="AR9" s="432"/>
      <c r="AS9" s="432"/>
      <c r="AT9" s="432"/>
      <c r="AU9" s="435"/>
      <c r="AV9" s="441"/>
      <c r="AW9" s="432"/>
      <c r="AX9" s="449" t="s">
        <v>664</v>
      </c>
      <c r="AY9" s="453"/>
      <c r="AZ9" s="441"/>
      <c r="BA9" s="441"/>
      <c r="BB9" s="441"/>
      <c r="BC9" s="441"/>
      <c r="BD9" s="449" t="s">
        <v>665</v>
      </c>
      <c r="BE9" s="432"/>
      <c r="BF9" s="434"/>
      <c r="BG9" s="441"/>
      <c r="BH9" s="441"/>
      <c r="BI9" s="449" t="s">
        <v>666</v>
      </c>
      <c r="BJ9" s="453"/>
      <c r="BK9" s="441"/>
      <c r="BL9" s="441"/>
      <c r="BM9" s="163"/>
      <c r="BN9" s="167"/>
      <c r="BO9" s="163"/>
      <c r="BP9" s="163"/>
      <c r="BQ9" s="163"/>
      <c r="CB9" s="163"/>
      <c r="CC9" s="163"/>
      <c r="CD9" s="163"/>
      <c r="CE9" s="163"/>
      <c r="CF9" s="163"/>
      <c r="CG9" s="163"/>
      <c r="CH9" s="168"/>
      <c r="CI9" s="173"/>
      <c r="CJ9" s="173"/>
      <c r="CK9" s="173"/>
      <c r="CL9" s="173"/>
      <c r="CM9" s="169"/>
      <c r="CN9" s="173"/>
      <c r="CO9" s="173"/>
      <c r="CP9" s="173"/>
      <c r="CQ9" s="173"/>
      <c r="DC9" s="350"/>
      <c r="DD9" s="350"/>
      <c r="DE9" s="354"/>
      <c r="DF9" s="354"/>
      <c r="DG9" s="358"/>
      <c r="DH9" s="358"/>
      <c r="DI9" s="358"/>
      <c r="DJ9" s="359"/>
      <c r="DK9" s="359"/>
      <c r="DL9" s="359"/>
    </row>
    <row r="10" spans="1:116" s="161" customFormat="1" ht="10.5" customHeight="1">
      <c r="A10" s="434"/>
      <c r="B10" s="434"/>
      <c r="C10" s="434"/>
      <c r="D10" s="434"/>
      <c r="E10" s="434"/>
      <c r="F10" s="434"/>
      <c r="G10" s="434"/>
      <c r="H10" s="1304" t="s">
        <v>667</v>
      </c>
      <c r="I10" s="1304"/>
      <c r="J10" s="1304"/>
      <c r="K10" s="1304"/>
      <c r="L10" s="434"/>
      <c r="M10" s="1348" t="s">
        <v>668</v>
      </c>
      <c r="N10" s="1348"/>
      <c r="O10" s="1348"/>
      <c r="P10" s="1348"/>
      <c r="Q10" s="434"/>
      <c r="R10" s="1304" t="s">
        <v>669</v>
      </c>
      <c r="S10" s="1304"/>
      <c r="T10" s="1304"/>
      <c r="U10" s="1304"/>
      <c r="V10" s="434"/>
      <c r="W10" s="1348" t="s">
        <v>670</v>
      </c>
      <c r="X10" s="1348"/>
      <c r="Y10" s="1348"/>
      <c r="Z10" s="1348"/>
      <c r="AA10" s="434"/>
      <c r="AB10" s="434"/>
      <c r="AC10" s="434"/>
      <c r="AD10" s="434"/>
      <c r="AE10" s="434"/>
      <c r="AF10" s="434"/>
      <c r="AG10" s="434"/>
      <c r="AH10" s="434"/>
      <c r="AI10" s="434"/>
      <c r="AJ10" s="434"/>
      <c r="AK10" s="434"/>
      <c r="AL10" s="434"/>
      <c r="AM10" s="434"/>
      <c r="AN10" s="434"/>
      <c r="AO10" s="434"/>
      <c r="AP10" s="434"/>
      <c r="AQ10" s="434"/>
      <c r="AR10" s="434"/>
      <c r="AS10" s="434"/>
      <c r="AT10" s="434"/>
      <c r="AU10" s="434"/>
      <c r="AV10" s="434"/>
      <c r="AW10" s="434"/>
      <c r="AX10" s="434"/>
      <c r="AY10" s="434"/>
      <c r="AZ10" s="434"/>
      <c r="BA10" s="434"/>
      <c r="BB10" s="434"/>
      <c r="BC10" s="434"/>
      <c r="BD10" s="434"/>
      <c r="BE10" s="441"/>
      <c r="BF10" s="441"/>
      <c r="BG10" s="441"/>
      <c r="BH10" s="441"/>
      <c r="BI10" s="441"/>
      <c r="BJ10" s="441"/>
      <c r="BK10" s="441"/>
      <c r="BL10" s="441"/>
      <c r="BM10" s="169"/>
      <c r="BN10" s="170"/>
      <c r="BO10" s="169"/>
      <c r="BP10" s="169"/>
      <c r="BQ10" s="169"/>
      <c r="CB10" s="169"/>
      <c r="CC10" s="169"/>
      <c r="CD10" s="169"/>
      <c r="CE10" s="169"/>
      <c r="CF10" s="169"/>
      <c r="CG10" s="169"/>
      <c r="CH10" s="168"/>
      <c r="CI10" s="173"/>
      <c r="CJ10" s="173"/>
      <c r="CK10" s="173"/>
      <c r="CL10" s="173"/>
      <c r="CM10" s="174"/>
      <c r="CN10" s="173"/>
      <c r="CO10" s="173"/>
      <c r="CP10" s="173"/>
      <c r="CQ10" s="173"/>
      <c r="CR10" s="175"/>
      <c r="CS10" s="175"/>
      <c r="CT10" s="175"/>
      <c r="CU10" s="175"/>
      <c r="CV10" s="175"/>
      <c r="CW10" s="175"/>
      <c r="DC10" s="350"/>
      <c r="DD10" s="350"/>
      <c r="DE10" s="354"/>
      <c r="DF10" s="354"/>
      <c r="DG10" s="358"/>
      <c r="DH10" s="358"/>
      <c r="DI10" s="358"/>
      <c r="DJ10" s="359"/>
      <c r="DK10" s="359"/>
      <c r="DL10" s="359"/>
    </row>
    <row r="11" spans="1:116" s="161" customFormat="1" ht="10.5" customHeight="1">
      <c r="A11" s="1551" t="s">
        <v>624</v>
      </c>
      <c r="B11" s="1551"/>
      <c r="C11" s="1551"/>
      <c r="D11" s="1551"/>
      <c r="E11" s="1551"/>
      <c r="F11" s="1551"/>
      <c r="G11" s="434"/>
      <c r="H11" s="1304"/>
      <c r="I11" s="1304"/>
      <c r="J11" s="1304"/>
      <c r="K11" s="1304"/>
      <c r="L11" s="454"/>
      <c r="M11" s="1348"/>
      <c r="N11" s="1348"/>
      <c r="O11" s="1348"/>
      <c r="P11" s="1348"/>
      <c r="Q11" s="454"/>
      <c r="R11" s="1304"/>
      <c r="S11" s="1304"/>
      <c r="T11" s="1304"/>
      <c r="U11" s="1304"/>
      <c r="V11" s="454"/>
      <c r="W11" s="1348"/>
      <c r="X11" s="1348"/>
      <c r="Y11" s="1348"/>
      <c r="Z11" s="1348"/>
      <c r="AA11" s="434"/>
      <c r="AB11" s="434"/>
      <c r="AC11" s="431"/>
      <c r="AD11" s="431"/>
      <c r="AE11" s="431"/>
      <c r="AF11" s="431"/>
      <c r="AG11" s="431"/>
      <c r="AH11" s="431"/>
      <c r="AI11" s="431"/>
      <c r="AJ11" s="431"/>
      <c r="AK11" s="431"/>
      <c r="AL11" s="431"/>
      <c r="AM11" s="431"/>
      <c r="AN11" s="431"/>
      <c r="AO11" s="434"/>
      <c r="AP11" s="434"/>
      <c r="AQ11" s="434"/>
      <c r="AR11" s="434"/>
      <c r="AS11" s="431"/>
      <c r="AT11" s="1359" t="s">
        <v>671</v>
      </c>
      <c r="AU11" s="1359"/>
      <c r="AV11" s="1359"/>
      <c r="AW11" s="1359"/>
      <c r="AX11" s="431"/>
      <c r="AY11" s="1359" t="s">
        <v>672</v>
      </c>
      <c r="AZ11" s="1359"/>
      <c r="BA11" s="1359"/>
      <c r="BB11" s="1359"/>
      <c r="BC11" s="431"/>
      <c r="BD11" s="1359" t="s">
        <v>669</v>
      </c>
      <c r="BE11" s="1359"/>
      <c r="BF11" s="1359"/>
      <c r="BG11" s="1359"/>
      <c r="BH11" s="441"/>
      <c r="BI11" s="441"/>
      <c r="BJ11" s="441"/>
      <c r="BK11" s="441"/>
      <c r="BL11" s="441"/>
      <c r="BM11" s="169"/>
      <c r="BN11" s="170"/>
      <c r="BO11" s="169"/>
      <c r="BP11" s="169"/>
      <c r="BQ11" s="169"/>
      <c r="BV11" s="169"/>
      <c r="BW11" s="169"/>
      <c r="BX11" s="169"/>
      <c r="BY11" s="169"/>
      <c r="BZ11" s="169"/>
      <c r="CA11" s="169"/>
      <c r="CB11" s="169"/>
      <c r="CC11" s="169"/>
      <c r="CD11" s="169"/>
      <c r="CE11" s="169"/>
      <c r="CF11" s="169"/>
      <c r="CG11" s="169"/>
      <c r="CH11" s="168"/>
      <c r="CI11" s="173"/>
      <c r="CJ11" s="173"/>
      <c r="CK11" s="173"/>
      <c r="CL11" s="173"/>
      <c r="CM11" s="174"/>
      <c r="CN11" s="173"/>
      <c r="CO11" s="173"/>
      <c r="CP11" s="173"/>
      <c r="CQ11" s="173"/>
      <c r="DC11" s="350"/>
      <c r="DD11" s="350"/>
      <c r="DE11" s="354"/>
      <c r="DF11" s="354"/>
      <c r="DG11" s="358"/>
      <c r="DH11" s="358"/>
      <c r="DI11" s="358"/>
      <c r="DJ11" s="359"/>
      <c r="DK11" s="359"/>
      <c r="DL11" s="359"/>
    </row>
    <row r="12" spans="1:116" s="161" customFormat="1" ht="10.5" customHeight="1" thickBot="1">
      <c r="A12" s="1551"/>
      <c r="B12" s="1551"/>
      <c r="C12" s="1551"/>
      <c r="D12" s="1551"/>
      <c r="E12" s="1551"/>
      <c r="F12" s="1551"/>
      <c r="G12" s="434"/>
      <c r="H12" s="1550"/>
      <c r="I12" s="1550"/>
      <c r="J12" s="1550"/>
      <c r="K12" s="1550"/>
      <c r="L12" s="454"/>
      <c r="M12" s="1349"/>
      <c r="N12" s="1349"/>
      <c r="O12" s="1349"/>
      <c r="P12" s="1349"/>
      <c r="Q12" s="454"/>
      <c r="R12" s="1304"/>
      <c r="S12" s="1304"/>
      <c r="T12" s="1304"/>
      <c r="U12" s="1304"/>
      <c r="V12" s="454"/>
      <c r="W12" s="1348"/>
      <c r="X12" s="1348"/>
      <c r="Y12" s="1348"/>
      <c r="Z12" s="1348"/>
      <c r="AA12" s="434"/>
      <c r="AB12" s="434"/>
      <c r="AC12" s="434"/>
      <c r="AD12" s="434"/>
      <c r="AE12" s="434"/>
      <c r="AF12" s="434"/>
      <c r="AG12" s="434"/>
      <c r="AH12" s="434"/>
      <c r="AI12" s="434"/>
      <c r="AJ12" s="434"/>
      <c r="AK12" s="434"/>
      <c r="AL12" s="434"/>
      <c r="AM12" s="434"/>
      <c r="AN12" s="434"/>
      <c r="AO12" s="1207" t="s">
        <v>673</v>
      </c>
      <c r="AP12" s="1207"/>
      <c r="AQ12" s="1207"/>
      <c r="AR12" s="1207"/>
      <c r="AS12" s="431"/>
      <c r="AT12" s="1305"/>
      <c r="AU12" s="1305"/>
      <c r="AV12" s="1305"/>
      <c r="AW12" s="1305"/>
      <c r="AX12" s="433"/>
      <c r="AY12" s="1359"/>
      <c r="AZ12" s="1359"/>
      <c r="BA12" s="1359"/>
      <c r="BB12" s="1359"/>
      <c r="BC12" s="431"/>
      <c r="BD12" s="1359"/>
      <c r="BE12" s="1359"/>
      <c r="BF12" s="1359"/>
      <c r="BG12" s="1359"/>
      <c r="BH12" s="441"/>
      <c r="BI12" s="441"/>
      <c r="BJ12" s="441"/>
      <c r="BK12" s="441"/>
      <c r="BL12" s="441"/>
      <c r="BM12" s="169"/>
      <c r="BN12" s="170"/>
      <c r="BO12" s="169"/>
      <c r="BP12" s="169"/>
      <c r="BQ12" s="169"/>
      <c r="BR12" s="169"/>
      <c r="BS12" s="169"/>
      <c r="BT12" s="169"/>
      <c r="BU12" s="169"/>
      <c r="BV12" s="169"/>
      <c r="BW12" s="169"/>
      <c r="BX12" s="169"/>
      <c r="BY12" s="169"/>
      <c r="BZ12" s="169"/>
      <c r="CA12" s="169"/>
      <c r="CB12" s="169"/>
      <c r="CC12" s="169"/>
      <c r="CD12" s="169"/>
      <c r="CE12" s="169"/>
      <c r="CF12" s="169"/>
      <c r="CG12" s="169"/>
      <c r="CH12" s="168"/>
      <c r="CI12" s="178"/>
      <c r="CJ12" s="178"/>
      <c r="CK12" s="178"/>
      <c r="CL12" s="178"/>
      <c r="CM12" s="175"/>
      <c r="CY12" s="360"/>
      <c r="DC12" s="350"/>
      <c r="DD12" s="356"/>
      <c r="DE12" s="354"/>
      <c r="DF12" s="354"/>
      <c r="DG12" s="358"/>
      <c r="DH12" s="358"/>
      <c r="DI12" s="358"/>
      <c r="DJ12" s="359"/>
      <c r="DK12" s="359"/>
      <c r="DL12" s="359"/>
    </row>
    <row r="13" spans="1:116" ht="10.5" customHeight="1" thickTop="1">
      <c r="A13" s="1159" t="s">
        <v>858</v>
      </c>
      <c r="B13" s="1159"/>
      <c r="C13" s="1159"/>
      <c r="D13" s="1159"/>
      <c r="E13" s="1159"/>
      <c r="F13" s="1159"/>
      <c r="G13" s="162"/>
      <c r="H13" s="1334">
        <f>'能力'!I18</f>
        <v>24</v>
      </c>
      <c r="I13" s="1335"/>
      <c r="J13" s="1335"/>
      <c r="K13" s="1336"/>
      <c r="L13" s="434"/>
      <c r="M13" s="1316">
        <f>'能力'!L18</f>
        <v>7</v>
      </c>
      <c r="N13" s="1317"/>
      <c r="O13" s="1317"/>
      <c r="P13" s="1318"/>
      <c r="Q13" s="434"/>
      <c r="R13" s="1325"/>
      <c r="S13" s="1326"/>
      <c r="T13" s="1326"/>
      <c r="U13" s="1327"/>
      <c r="V13" s="434"/>
      <c r="W13" s="1263"/>
      <c r="X13" s="1264"/>
      <c r="Y13" s="1264"/>
      <c r="Z13" s="1265"/>
      <c r="AA13" s="176"/>
      <c r="AB13" s="176"/>
      <c r="AC13" s="1216" t="s">
        <v>868</v>
      </c>
      <c r="AD13" s="1216"/>
      <c r="AE13" s="1216"/>
      <c r="AF13" s="1216"/>
      <c r="AG13" s="1216"/>
      <c r="AH13" s="1216"/>
      <c r="AI13" s="1216"/>
      <c r="AJ13" s="1216"/>
      <c r="AK13" s="1216"/>
      <c r="AL13" s="1216"/>
      <c r="AM13" s="1216"/>
      <c r="AN13" s="179"/>
      <c r="AO13" s="1552">
        <f>'能力'!AE15</f>
        <v>0</v>
      </c>
      <c r="AP13" s="1553"/>
      <c r="AQ13" s="1553"/>
      <c r="AR13" s="1554"/>
      <c r="AS13" s="456"/>
      <c r="AT13" s="1308">
        <f>M17</f>
        <v>0</v>
      </c>
      <c r="AU13" s="1309"/>
      <c r="AV13" s="1309"/>
      <c r="AW13" s="1310"/>
      <c r="AX13" s="456"/>
      <c r="AY13" s="1661">
        <f>IF('能力'!AG15=0,"",'能力'!AG15)</f>
      </c>
      <c r="AZ13" s="1662"/>
      <c r="BA13" s="1662"/>
      <c r="BB13" s="1663"/>
      <c r="BC13" s="457"/>
      <c r="BD13" s="1661">
        <f>IF('能力'!AI15=0,"",'能力'!AI15)</f>
      </c>
      <c r="BE13" s="1662"/>
      <c r="BF13" s="1662"/>
      <c r="BG13" s="1663"/>
      <c r="BH13" s="441"/>
      <c r="BI13" s="441"/>
      <c r="BJ13" s="441"/>
      <c r="BK13" s="441"/>
      <c r="BL13" s="441"/>
      <c r="BM13" s="182"/>
      <c r="BN13" s="183"/>
      <c r="BO13" s="184"/>
      <c r="BP13" s="184"/>
      <c r="BQ13" s="184"/>
      <c r="BR13" s="184"/>
      <c r="BS13" s="184"/>
      <c r="BT13" s="184"/>
      <c r="BU13" s="184"/>
      <c r="BV13" s="184"/>
      <c r="BW13" s="184"/>
      <c r="BX13" s="184"/>
      <c r="BY13" s="184"/>
      <c r="BZ13" s="184"/>
      <c r="CA13" s="184"/>
      <c r="CB13" s="184"/>
      <c r="CC13" s="182"/>
      <c r="CD13" s="182"/>
      <c r="CE13" s="182"/>
      <c r="CF13" s="182"/>
      <c r="CG13" s="182"/>
      <c r="CH13" s="185"/>
      <c r="CJ13" s="1404">
        <f>CONCATENATE('能力'!BY30,'能力'!BY31,'能力'!BY32,'能力'!BY33,'能力'!BY34)</f>
      </c>
      <c r="CK13" s="1405"/>
      <c r="CL13" s="1405"/>
      <c r="CM13" s="1405"/>
      <c r="CN13" s="1405"/>
      <c r="CO13" s="1405"/>
      <c r="CP13" s="1405"/>
      <c r="CQ13" s="1405"/>
      <c r="CR13" s="1405"/>
      <c r="CS13" s="1405"/>
      <c r="CT13" s="1405"/>
      <c r="CU13" s="1405"/>
      <c r="CV13" s="1405"/>
      <c r="CW13" s="1406"/>
      <c r="CX13" s="161"/>
      <c r="CY13" s="161"/>
      <c r="CZ13" s="161"/>
      <c r="DA13" s="161"/>
      <c r="DB13" s="161"/>
      <c r="DC13" s="350"/>
      <c r="DD13" s="350"/>
      <c r="DE13" s="354"/>
      <c r="DF13" s="354"/>
      <c r="DG13" s="358"/>
      <c r="DH13" s="358"/>
      <c r="DI13" s="358"/>
      <c r="DJ13" s="359"/>
      <c r="DK13" s="359"/>
      <c r="DL13" s="359"/>
    </row>
    <row r="14" spans="1:116" ht="10.5" customHeight="1">
      <c r="A14" s="1159"/>
      <c r="B14" s="1159"/>
      <c r="C14" s="1159"/>
      <c r="D14" s="1159"/>
      <c r="E14" s="1159"/>
      <c r="F14" s="1159"/>
      <c r="G14" s="176"/>
      <c r="H14" s="1337"/>
      <c r="I14" s="1338"/>
      <c r="J14" s="1338"/>
      <c r="K14" s="1339"/>
      <c r="L14" s="434"/>
      <c r="M14" s="1319"/>
      <c r="N14" s="1320"/>
      <c r="O14" s="1320"/>
      <c r="P14" s="1321"/>
      <c r="Q14" s="434"/>
      <c r="R14" s="1328"/>
      <c r="S14" s="1329"/>
      <c r="T14" s="1329"/>
      <c r="U14" s="1330"/>
      <c r="V14" s="434"/>
      <c r="W14" s="1266"/>
      <c r="X14" s="1267"/>
      <c r="Y14" s="1267"/>
      <c r="Z14" s="1268"/>
      <c r="AA14" s="176"/>
      <c r="AB14" s="176"/>
      <c r="AC14" s="1216"/>
      <c r="AD14" s="1216"/>
      <c r="AE14" s="1216"/>
      <c r="AF14" s="1216"/>
      <c r="AG14" s="1216"/>
      <c r="AH14" s="1216"/>
      <c r="AI14" s="1216"/>
      <c r="AJ14" s="1216"/>
      <c r="AK14" s="1216"/>
      <c r="AL14" s="1216"/>
      <c r="AM14" s="1216"/>
      <c r="AN14" s="179"/>
      <c r="AO14" s="1555"/>
      <c r="AP14" s="1556"/>
      <c r="AQ14" s="1556"/>
      <c r="AR14" s="1557"/>
      <c r="AS14" s="455" t="s">
        <v>213</v>
      </c>
      <c r="AT14" s="1311"/>
      <c r="AU14" s="1202"/>
      <c r="AV14" s="1202"/>
      <c r="AW14" s="1312"/>
      <c r="AX14" s="455" t="s">
        <v>214</v>
      </c>
      <c r="AY14" s="1664"/>
      <c r="AZ14" s="1589"/>
      <c r="BA14" s="1589"/>
      <c r="BB14" s="1665"/>
      <c r="BC14" s="455" t="s">
        <v>214</v>
      </c>
      <c r="BD14" s="1664"/>
      <c r="BE14" s="1589"/>
      <c r="BF14" s="1589"/>
      <c r="BG14" s="1665"/>
      <c r="BH14" s="441"/>
      <c r="BI14" s="441"/>
      <c r="BJ14" s="441"/>
      <c r="BK14" s="441"/>
      <c r="BL14" s="441"/>
      <c r="BN14" s="1655" t="s">
        <v>872</v>
      </c>
      <c r="BO14" s="1656"/>
      <c r="BP14" s="1656"/>
      <c r="BQ14" s="1656"/>
      <c r="BR14" s="1656"/>
      <c r="BS14" s="1656"/>
      <c r="BT14" s="1656"/>
      <c r="BU14" s="1656"/>
      <c r="BV14" s="1656"/>
      <c r="BW14" s="1656"/>
      <c r="BX14" s="1656"/>
      <c r="BY14" s="1656"/>
      <c r="BZ14" s="1656"/>
      <c r="CA14" s="1656"/>
      <c r="CB14" s="1656"/>
      <c r="CC14" s="1656"/>
      <c r="CD14" s="1656"/>
      <c r="CE14" s="1656"/>
      <c r="CF14" s="1656"/>
      <c r="CG14" s="1656"/>
      <c r="CH14" s="1657"/>
      <c r="CJ14" s="1407"/>
      <c r="CK14" s="1354"/>
      <c r="CL14" s="1354"/>
      <c r="CM14" s="1354"/>
      <c r="CN14" s="1354"/>
      <c r="CO14" s="1354"/>
      <c r="CP14" s="1354"/>
      <c r="CQ14" s="1354"/>
      <c r="CR14" s="1354"/>
      <c r="CS14" s="1354"/>
      <c r="CT14" s="1354"/>
      <c r="CU14" s="1354"/>
      <c r="CV14" s="1354"/>
      <c r="CW14" s="1408"/>
      <c r="CX14" s="161"/>
      <c r="CY14" s="161"/>
      <c r="CZ14" s="161"/>
      <c r="DA14" s="161"/>
      <c r="DB14" s="161"/>
      <c r="DC14" s="350"/>
      <c r="DD14" s="350"/>
      <c r="DE14" s="354"/>
      <c r="DF14" s="361"/>
      <c r="DG14" s="350"/>
      <c r="DH14" s="350"/>
      <c r="DI14" s="350"/>
      <c r="DJ14" s="171"/>
      <c r="DK14" s="171"/>
      <c r="DL14" s="171"/>
    </row>
    <row r="15" spans="1:116" ht="10.5" customHeight="1" thickBot="1">
      <c r="A15" s="1160"/>
      <c r="B15" s="1160"/>
      <c r="C15" s="1160"/>
      <c r="D15" s="1160"/>
      <c r="E15" s="1160"/>
      <c r="F15" s="1160"/>
      <c r="G15" s="176"/>
      <c r="H15" s="1340"/>
      <c r="I15" s="1341"/>
      <c r="J15" s="1341"/>
      <c r="K15" s="1342"/>
      <c r="L15" s="434"/>
      <c r="M15" s="1322"/>
      <c r="N15" s="1323"/>
      <c r="O15" s="1323"/>
      <c r="P15" s="1324"/>
      <c r="Q15" s="434"/>
      <c r="R15" s="1331"/>
      <c r="S15" s="1332"/>
      <c r="T15" s="1332"/>
      <c r="U15" s="1333"/>
      <c r="V15" s="434"/>
      <c r="W15" s="1269"/>
      <c r="X15" s="1270"/>
      <c r="Y15" s="1270"/>
      <c r="Z15" s="1271"/>
      <c r="AA15" s="176"/>
      <c r="AB15" s="176"/>
      <c r="AC15" s="1216"/>
      <c r="AD15" s="1216"/>
      <c r="AE15" s="1216"/>
      <c r="AF15" s="1216"/>
      <c r="AG15" s="1216"/>
      <c r="AH15" s="1216"/>
      <c r="AI15" s="1216"/>
      <c r="AJ15" s="1216"/>
      <c r="AK15" s="1216"/>
      <c r="AL15" s="1216"/>
      <c r="AM15" s="1216"/>
      <c r="AN15" s="179"/>
      <c r="AO15" s="1558"/>
      <c r="AP15" s="1559"/>
      <c r="AQ15" s="1559"/>
      <c r="AR15" s="1560"/>
      <c r="AS15" s="456"/>
      <c r="AT15" s="1313"/>
      <c r="AU15" s="1314"/>
      <c r="AV15" s="1314"/>
      <c r="AW15" s="1315"/>
      <c r="AX15" s="456"/>
      <c r="AY15" s="1666"/>
      <c r="AZ15" s="1667"/>
      <c r="BA15" s="1667"/>
      <c r="BB15" s="1668"/>
      <c r="BC15" s="457"/>
      <c r="BD15" s="1666"/>
      <c r="BE15" s="1667"/>
      <c r="BF15" s="1667"/>
      <c r="BG15" s="1668"/>
      <c r="BH15" s="441"/>
      <c r="BI15" s="441"/>
      <c r="BJ15" s="441"/>
      <c r="BK15" s="441"/>
      <c r="BL15" s="441"/>
      <c r="BN15" s="1658"/>
      <c r="BO15" s="1659"/>
      <c r="BP15" s="1659"/>
      <c r="BQ15" s="1659"/>
      <c r="BR15" s="1659"/>
      <c r="BS15" s="1659"/>
      <c r="BT15" s="1659"/>
      <c r="BU15" s="1659"/>
      <c r="BV15" s="1659"/>
      <c r="BW15" s="1659"/>
      <c r="BX15" s="1659"/>
      <c r="BY15" s="1659"/>
      <c r="BZ15" s="1659"/>
      <c r="CA15" s="1659"/>
      <c r="CB15" s="1659"/>
      <c r="CC15" s="1659"/>
      <c r="CD15" s="1659"/>
      <c r="CE15" s="1659"/>
      <c r="CF15" s="1659"/>
      <c r="CG15" s="1659"/>
      <c r="CH15" s="1660"/>
      <c r="CJ15" s="1409"/>
      <c r="CK15" s="1410"/>
      <c r="CL15" s="1410"/>
      <c r="CM15" s="1410"/>
      <c r="CN15" s="1410"/>
      <c r="CO15" s="1410"/>
      <c r="CP15" s="1410"/>
      <c r="CQ15" s="1410"/>
      <c r="CR15" s="1410"/>
      <c r="CS15" s="1410"/>
      <c r="CT15" s="1410"/>
      <c r="CU15" s="1410"/>
      <c r="CV15" s="1410"/>
      <c r="CW15" s="1411"/>
      <c r="CX15" s="161"/>
      <c r="CY15" s="161"/>
      <c r="CZ15" s="161"/>
      <c r="DA15" s="161"/>
      <c r="DB15" s="161"/>
      <c r="DC15" s="350"/>
      <c r="DD15" s="350"/>
      <c r="DE15" s="358"/>
      <c r="DF15" s="350"/>
      <c r="DG15" s="350"/>
      <c r="DH15" s="350"/>
      <c r="DI15" s="350"/>
      <c r="DJ15" s="171"/>
      <c r="DK15" s="171"/>
      <c r="DL15" s="171"/>
    </row>
    <row r="16" spans="1:116" ht="10.5" customHeight="1" thickBot="1">
      <c r="A16" s="190"/>
      <c r="B16" s="190"/>
      <c r="C16" s="190"/>
      <c r="D16" s="190"/>
      <c r="E16" s="190"/>
      <c r="F16" s="190"/>
      <c r="G16" s="176"/>
      <c r="H16" s="434"/>
      <c r="I16" s="434"/>
      <c r="J16" s="434"/>
      <c r="K16" s="434"/>
      <c r="L16" s="434"/>
      <c r="M16" s="434"/>
      <c r="N16" s="434"/>
      <c r="O16" s="434"/>
      <c r="P16" s="434"/>
      <c r="Q16" s="434"/>
      <c r="R16" s="434"/>
      <c r="S16" s="434"/>
      <c r="T16" s="434"/>
      <c r="U16" s="434"/>
      <c r="V16" s="434"/>
      <c r="W16" s="434"/>
      <c r="X16" s="434"/>
      <c r="Y16" s="434"/>
      <c r="Z16" s="434"/>
      <c r="AA16" s="176"/>
      <c r="AB16" s="176"/>
      <c r="AC16" s="179"/>
      <c r="AD16" s="179"/>
      <c r="AE16" s="179"/>
      <c r="AF16" s="179"/>
      <c r="AG16" s="179"/>
      <c r="AH16" s="179"/>
      <c r="AI16" s="179"/>
      <c r="AJ16" s="431">
        <f>'能力'!$K$38</f>
        <v>12</v>
      </c>
      <c r="AK16" s="431">
        <f>'能力'!$K$39</f>
        <v>6</v>
      </c>
      <c r="AL16" s="431">
        <f>'能力'!$K$40</f>
        <v>7</v>
      </c>
      <c r="AM16" s="431">
        <f>'能力'!$K$41</f>
        <v>6</v>
      </c>
      <c r="AN16" s="431">
        <f>'能力'!$K$42</f>
        <v>7</v>
      </c>
      <c r="AO16" s="494">
        <f>'能力'!$K$43</f>
        <v>6</v>
      </c>
      <c r="AP16" s="494">
        <f>'能力'!$K$44</f>
        <v>7</v>
      </c>
      <c r="AQ16" s="494">
        <f>'能力'!$K$45</f>
        <v>6</v>
      </c>
      <c r="AR16" s="494">
        <f>'能力'!$K$46</f>
        <v>7</v>
      </c>
      <c r="AS16" s="494">
        <f>'能力'!$K$47</f>
        <v>6</v>
      </c>
      <c r="AT16" s="494">
        <f>'能力'!$K$48</f>
        <v>7</v>
      </c>
      <c r="AU16" s="494" t="str">
        <f>'能力'!$K$49</f>
        <v> </v>
      </c>
      <c r="AV16" s="494" t="str">
        <f>'能力'!$K$50</f>
        <v> </v>
      </c>
      <c r="AW16" s="494" t="str">
        <f>'能力'!$K$51</f>
        <v> </v>
      </c>
      <c r="AX16" s="494" t="str">
        <f>'能力'!$K$52</f>
        <v> </v>
      </c>
      <c r="AY16" s="494" t="str">
        <f>'能力'!$K$53</f>
        <v> </v>
      </c>
      <c r="AZ16" s="494" t="str">
        <f>'能力'!$K$54</f>
        <v> </v>
      </c>
      <c r="BA16" s="494" t="str">
        <f>'能力'!$K$55</f>
        <v> </v>
      </c>
      <c r="BB16" s="494" t="str">
        <f>'能力'!$K$56</f>
        <v> </v>
      </c>
      <c r="BC16" s="494" t="str">
        <f>'能力'!$K$57</f>
        <v> </v>
      </c>
      <c r="BD16" s="540"/>
      <c r="BE16" s="540"/>
      <c r="BF16" s="540"/>
      <c r="BG16" s="540"/>
      <c r="BH16" s="540"/>
      <c r="BI16" s="540"/>
      <c r="BJ16" s="540"/>
      <c r="BK16" s="540"/>
      <c r="BL16" s="540"/>
      <c r="BM16" s="432"/>
      <c r="BN16" s="441"/>
      <c r="BO16" s="445"/>
      <c r="BP16" s="445"/>
      <c r="BQ16" s="445"/>
      <c r="BR16" s="445"/>
      <c r="BS16" s="445"/>
      <c r="BT16" s="445"/>
      <c r="BU16" s="445"/>
      <c r="BV16" s="445"/>
      <c r="BW16" s="445"/>
      <c r="BX16" s="445"/>
      <c r="BY16" s="445"/>
      <c r="BZ16" s="445"/>
      <c r="CA16" s="445"/>
      <c r="CB16" s="445"/>
      <c r="CC16" s="432"/>
      <c r="CD16" s="432"/>
      <c r="CE16" s="432"/>
      <c r="CF16" s="432"/>
      <c r="CG16" s="432"/>
      <c r="CH16" s="432"/>
      <c r="CI16" s="441"/>
      <c r="CJ16" s="1654" t="s">
        <v>626</v>
      </c>
      <c r="CK16" s="1654"/>
      <c r="CL16" s="1654"/>
      <c r="CM16" s="1654"/>
      <c r="CN16" s="1654"/>
      <c r="CO16" s="1654"/>
      <c r="CP16" s="1654"/>
      <c r="CQ16" s="1654"/>
      <c r="CR16" s="1654"/>
      <c r="CS16" s="1654"/>
      <c r="CT16" s="1654"/>
      <c r="CU16" s="1654"/>
      <c r="CV16" s="1654"/>
      <c r="CW16" s="1654"/>
      <c r="CX16" s="161"/>
      <c r="CY16" s="161"/>
      <c r="CZ16" s="161"/>
      <c r="DA16" s="161"/>
      <c r="DB16" s="161"/>
      <c r="DC16" s="350"/>
      <c r="DD16" s="350"/>
      <c r="DE16" s="350"/>
      <c r="DF16" s="350"/>
      <c r="DG16" s="350"/>
      <c r="DH16" s="350"/>
      <c r="DI16" s="350"/>
      <c r="DJ16" s="171"/>
      <c r="DK16" s="171"/>
      <c r="DL16" s="171"/>
    </row>
    <row r="17" spans="1:116" ht="10.5" customHeight="1" thickTop="1">
      <c r="A17" s="1159" t="s">
        <v>857</v>
      </c>
      <c r="B17" s="1159"/>
      <c r="C17" s="1159"/>
      <c r="D17" s="1159"/>
      <c r="E17" s="1159"/>
      <c r="F17" s="1159"/>
      <c r="G17" s="176"/>
      <c r="H17" s="1334">
        <f>'能力'!I19</f>
        <v>10</v>
      </c>
      <c r="I17" s="1335"/>
      <c r="J17" s="1335"/>
      <c r="K17" s="1336"/>
      <c r="L17" s="434"/>
      <c r="M17" s="1316">
        <f>'能力'!L19</f>
        <v>0</v>
      </c>
      <c r="N17" s="1317"/>
      <c r="O17" s="1317"/>
      <c r="P17" s="1318"/>
      <c r="Q17" s="434"/>
      <c r="R17" s="1325"/>
      <c r="S17" s="1326"/>
      <c r="T17" s="1326"/>
      <c r="U17" s="1327"/>
      <c r="V17" s="434"/>
      <c r="W17" s="1263"/>
      <c r="X17" s="1264"/>
      <c r="Y17" s="1264"/>
      <c r="Z17" s="1265"/>
      <c r="AA17" s="176"/>
      <c r="AB17" s="176"/>
      <c r="AC17" s="1159" t="s">
        <v>869</v>
      </c>
      <c r="AD17" s="1159"/>
      <c r="AE17" s="1159"/>
      <c r="AF17" s="1159"/>
      <c r="AG17" s="1159"/>
      <c r="AH17" s="1159"/>
      <c r="AI17" s="179"/>
      <c r="AJ17" s="1433">
        <f>'能力'!M32</f>
        <v>132</v>
      </c>
      <c r="AK17" s="1413"/>
      <c r="AL17" s="1413"/>
      <c r="AM17" s="1414"/>
      <c r="AN17" s="539"/>
      <c r="AO17" s="1412"/>
      <c r="AP17" s="1413"/>
      <c r="AQ17" s="1413"/>
      <c r="AR17" s="1413"/>
      <c r="AS17" s="1413"/>
      <c r="AT17" s="1413"/>
      <c r="AU17" s="1413"/>
      <c r="AV17" s="1413"/>
      <c r="AW17" s="1413"/>
      <c r="AX17" s="1413"/>
      <c r="AY17" s="1413"/>
      <c r="AZ17" s="1413"/>
      <c r="BA17" s="1413"/>
      <c r="BB17" s="1413"/>
      <c r="BC17" s="1413"/>
      <c r="BD17" s="1413"/>
      <c r="BE17" s="1413"/>
      <c r="BF17" s="1413"/>
      <c r="BG17" s="1413"/>
      <c r="BH17" s="1413"/>
      <c r="BI17" s="1413"/>
      <c r="BJ17" s="1413"/>
      <c r="BK17" s="1413"/>
      <c r="BL17" s="1414"/>
      <c r="BM17" s="191"/>
      <c r="BN17" s="1384">
        <f>IF('能力'!$AN$86=0,"",'能力'!$AN$86)</f>
      </c>
      <c r="BO17" s="1385"/>
      <c r="BP17" s="1385"/>
      <c r="BQ17" s="1385"/>
      <c r="BR17" s="1385"/>
      <c r="BS17" s="1385"/>
      <c r="BT17" s="1385"/>
      <c r="BU17" s="1385"/>
      <c r="BV17" s="1385"/>
      <c r="BW17" s="1385"/>
      <c r="BX17" s="1385"/>
      <c r="BY17" s="1385"/>
      <c r="BZ17" s="1385"/>
      <c r="CA17" s="1385"/>
      <c r="CB17" s="1385"/>
      <c r="CC17" s="1385"/>
      <c r="CD17" s="1385"/>
      <c r="CE17" s="1385"/>
      <c r="CF17" s="1385"/>
      <c r="CG17" s="1385"/>
      <c r="CH17" s="1385"/>
      <c r="CI17" s="1385"/>
      <c r="CJ17" s="1385"/>
      <c r="CK17" s="1385"/>
      <c r="CL17" s="1385"/>
      <c r="CM17" s="1386"/>
      <c r="CO17" s="1384">
        <f>IF('能力'!$AO$92=0,"",'能力'!$AO$92)</f>
      </c>
      <c r="CP17" s="1385"/>
      <c r="CQ17" s="1385"/>
      <c r="CR17" s="1386"/>
      <c r="CT17" s="1384">
        <f>IF('能力'!$AQ$92=0,"",'能力'!$AQ$92)</f>
      </c>
      <c r="CU17" s="1385"/>
      <c r="CV17" s="1385"/>
      <c r="CW17" s="1386"/>
      <c r="CX17" s="161"/>
      <c r="CY17" s="161"/>
      <c r="CZ17" s="161"/>
      <c r="DA17" s="161"/>
      <c r="DB17" s="161"/>
      <c r="DC17" s="350"/>
      <c r="DD17" s="350"/>
      <c r="DE17" s="358"/>
      <c r="DF17" s="358"/>
      <c r="DG17" s="358"/>
      <c r="DH17" s="358"/>
      <c r="DI17" s="358"/>
      <c r="DJ17" s="359"/>
      <c r="DK17" s="171"/>
      <c r="DL17" s="171"/>
    </row>
    <row r="18" spans="1:116" ht="10.5" customHeight="1">
      <c r="A18" s="1159"/>
      <c r="B18" s="1159"/>
      <c r="C18" s="1159"/>
      <c r="D18" s="1159"/>
      <c r="E18" s="1159"/>
      <c r="F18" s="1159"/>
      <c r="G18" s="176"/>
      <c r="H18" s="1337"/>
      <c r="I18" s="1338"/>
      <c r="J18" s="1338"/>
      <c r="K18" s="1339"/>
      <c r="L18" s="434"/>
      <c r="M18" s="1319"/>
      <c r="N18" s="1320"/>
      <c r="O18" s="1320"/>
      <c r="P18" s="1321"/>
      <c r="Q18" s="434"/>
      <c r="R18" s="1328"/>
      <c r="S18" s="1329"/>
      <c r="T18" s="1329"/>
      <c r="U18" s="1330"/>
      <c r="V18" s="434"/>
      <c r="W18" s="1266"/>
      <c r="X18" s="1267"/>
      <c r="Y18" s="1267"/>
      <c r="Z18" s="1268"/>
      <c r="AA18" s="176"/>
      <c r="AB18" s="176"/>
      <c r="AC18" s="1159"/>
      <c r="AD18" s="1159"/>
      <c r="AE18" s="1159"/>
      <c r="AF18" s="1159"/>
      <c r="AG18" s="1159"/>
      <c r="AH18" s="1159"/>
      <c r="AI18" s="179"/>
      <c r="AJ18" s="1415"/>
      <c r="AK18" s="1416"/>
      <c r="AL18" s="1416"/>
      <c r="AM18" s="1417"/>
      <c r="AN18" s="539"/>
      <c r="AO18" s="1415"/>
      <c r="AP18" s="1416"/>
      <c r="AQ18" s="1416"/>
      <c r="AR18" s="1416"/>
      <c r="AS18" s="1416"/>
      <c r="AT18" s="1416"/>
      <c r="AU18" s="1416"/>
      <c r="AV18" s="1416"/>
      <c r="AW18" s="1416"/>
      <c r="AX18" s="1416"/>
      <c r="AY18" s="1416"/>
      <c r="AZ18" s="1416"/>
      <c r="BA18" s="1416"/>
      <c r="BB18" s="1416"/>
      <c r="BC18" s="1416"/>
      <c r="BD18" s="1416"/>
      <c r="BE18" s="1416"/>
      <c r="BF18" s="1416"/>
      <c r="BG18" s="1416"/>
      <c r="BH18" s="1416"/>
      <c r="BI18" s="1416"/>
      <c r="BJ18" s="1416"/>
      <c r="BK18" s="1416"/>
      <c r="BL18" s="1417"/>
      <c r="BN18" s="1387"/>
      <c r="BO18" s="1388"/>
      <c r="BP18" s="1388"/>
      <c r="BQ18" s="1388"/>
      <c r="BR18" s="1388"/>
      <c r="BS18" s="1388"/>
      <c r="BT18" s="1388"/>
      <c r="BU18" s="1388"/>
      <c r="BV18" s="1388"/>
      <c r="BW18" s="1388"/>
      <c r="BX18" s="1388"/>
      <c r="BY18" s="1388"/>
      <c r="BZ18" s="1388"/>
      <c r="CA18" s="1388"/>
      <c r="CB18" s="1388"/>
      <c r="CC18" s="1388"/>
      <c r="CD18" s="1388"/>
      <c r="CE18" s="1388"/>
      <c r="CF18" s="1388"/>
      <c r="CG18" s="1388"/>
      <c r="CH18" s="1388"/>
      <c r="CI18" s="1388"/>
      <c r="CJ18" s="1388"/>
      <c r="CK18" s="1388"/>
      <c r="CL18" s="1388"/>
      <c r="CM18" s="1389"/>
      <c r="CO18" s="1387"/>
      <c r="CP18" s="1388"/>
      <c r="CQ18" s="1388"/>
      <c r="CR18" s="1389"/>
      <c r="CT18" s="1387"/>
      <c r="CU18" s="1388"/>
      <c r="CV18" s="1388"/>
      <c r="CW18" s="1389"/>
      <c r="CX18" s="161"/>
      <c r="CY18" s="161"/>
      <c r="CZ18" s="161"/>
      <c r="DA18" s="161"/>
      <c r="DB18" s="161"/>
      <c r="DC18" s="350"/>
      <c r="DD18" s="350"/>
      <c r="DE18" s="350"/>
      <c r="DF18" s="350"/>
      <c r="DG18" s="350"/>
      <c r="DH18" s="350"/>
      <c r="DI18" s="350"/>
      <c r="DJ18" s="171"/>
      <c r="DK18" s="171"/>
      <c r="DL18" s="171"/>
    </row>
    <row r="19" spans="1:116" ht="10.5" customHeight="1" thickBot="1">
      <c r="A19" s="1160"/>
      <c r="B19" s="1160"/>
      <c r="C19" s="1160"/>
      <c r="D19" s="1160"/>
      <c r="E19" s="1160"/>
      <c r="F19" s="1160"/>
      <c r="G19" s="176"/>
      <c r="H19" s="1340"/>
      <c r="I19" s="1341"/>
      <c r="J19" s="1341"/>
      <c r="K19" s="1342"/>
      <c r="L19" s="434"/>
      <c r="M19" s="1322"/>
      <c r="N19" s="1323"/>
      <c r="O19" s="1323"/>
      <c r="P19" s="1324"/>
      <c r="Q19" s="434"/>
      <c r="R19" s="1331"/>
      <c r="S19" s="1332"/>
      <c r="T19" s="1332"/>
      <c r="U19" s="1333"/>
      <c r="V19" s="434"/>
      <c r="W19" s="1269"/>
      <c r="X19" s="1270"/>
      <c r="Y19" s="1270"/>
      <c r="Z19" s="1271"/>
      <c r="AA19" s="176"/>
      <c r="AB19" s="176"/>
      <c r="AC19" s="1432" t="s">
        <v>625</v>
      </c>
      <c r="AD19" s="1432"/>
      <c r="AE19" s="1432"/>
      <c r="AF19" s="1432"/>
      <c r="AG19" s="1432"/>
      <c r="AH19" s="1432"/>
      <c r="AI19" s="179"/>
      <c r="AJ19" s="1418"/>
      <c r="AK19" s="1419"/>
      <c r="AL19" s="1419"/>
      <c r="AM19" s="1420"/>
      <c r="AN19" s="539"/>
      <c r="AO19" s="1418"/>
      <c r="AP19" s="1419"/>
      <c r="AQ19" s="1419"/>
      <c r="AR19" s="1419"/>
      <c r="AS19" s="1419"/>
      <c r="AT19" s="1419"/>
      <c r="AU19" s="1419"/>
      <c r="AV19" s="1419"/>
      <c r="AW19" s="1419"/>
      <c r="AX19" s="1419"/>
      <c r="AY19" s="1419"/>
      <c r="AZ19" s="1419"/>
      <c r="BA19" s="1419"/>
      <c r="BB19" s="1419"/>
      <c r="BC19" s="1419"/>
      <c r="BD19" s="1419"/>
      <c r="BE19" s="1419"/>
      <c r="BF19" s="1419"/>
      <c r="BG19" s="1419"/>
      <c r="BH19" s="1419"/>
      <c r="BI19" s="1419"/>
      <c r="BJ19" s="1419"/>
      <c r="BK19" s="1419"/>
      <c r="BL19" s="1420"/>
      <c r="BN19" s="1390"/>
      <c r="BO19" s="1391"/>
      <c r="BP19" s="1391"/>
      <c r="BQ19" s="1391"/>
      <c r="BR19" s="1391"/>
      <c r="BS19" s="1391"/>
      <c r="BT19" s="1391"/>
      <c r="BU19" s="1391"/>
      <c r="BV19" s="1391"/>
      <c r="BW19" s="1391"/>
      <c r="BX19" s="1391"/>
      <c r="BY19" s="1391"/>
      <c r="BZ19" s="1391"/>
      <c r="CA19" s="1391"/>
      <c r="CB19" s="1391"/>
      <c r="CC19" s="1391"/>
      <c r="CD19" s="1391"/>
      <c r="CE19" s="1391"/>
      <c r="CF19" s="1391"/>
      <c r="CG19" s="1391"/>
      <c r="CH19" s="1391"/>
      <c r="CI19" s="1391"/>
      <c r="CJ19" s="1391"/>
      <c r="CK19" s="1391"/>
      <c r="CL19" s="1391"/>
      <c r="CM19" s="1392"/>
      <c r="CO19" s="1390"/>
      <c r="CP19" s="1391"/>
      <c r="CQ19" s="1391"/>
      <c r="CR19" s="1392"/>
      <c r="CT19" s="1390"/>
      <c r="CU19" s="1391"/>
      <c r="CV19" s="1391"/>
      <c r="CW19" s="1392"/>
      <c r="CX19" s="161"/>
      <c r="CY19" s="161"/>
      <c r="CZ19" s="161"/>
      <c r="DA19" s="161"/>
      <c r="DB19" s="161"/>
      <c r="DC19" s="350"/>
      <c r="DD19" s="350"/>
      <c r="DE19" s="358"/>
      <c r="DF19" s="358"/>
      <c r="DG19" s="358"/>
      <c r="DH19" s="358"/>
      <c r="DI19" s="358"/>
      <c r="DJ19" s="359"/>
      <c r="DK19" s="359"/>
      <c r="DL19" s="359"/>
    </row>
    <row r="20" spans="1:116" ht="10.5" customHeight="1" thickBot="1">
      <c r="A20" s="190"/>
      <c r="B20" s="190"/>
      <c r="C20" s="190"/>
      <c r="D20" s="190"/>
      <c r="E20" s="190"/>
      <c r="F20" s="190"/>
      <c r="G20" s="176"/>
      <c r="H20" s="434"/>
      <c r="I20" s="434"/>
      <c r="J20" s="434"/>
      <c r="K20" s="434"/>
      <c r="L20" s="434"/>
      <c r="M20" s="434"/>
      <c r="N20" s="434"/>
      <c r="O20" s="434"/>
      <c r="P20" s="434"/>
      <c r="Q20" s="434"/>
      <c r="R20" s="434"/>
      <c r="S20" s="434"/>
      <c r="T20" s="434"/>
      <c r="U20" s="434"/>
      <c r="V20" s="434"/>
      <c r="W20" s="434"/>
      <c r="X20" s="434"/>
      <c r="Y20" s="434"/>
      <c r="Z20" s="434"/>
      <c r="AA20" s="176"/>
      <c r="AB20" s="176"/>
      <c r="AC20" s="193"/>
      <c r="AD20" s="193"/>
      <c r="AE20" s="193"/>
      <c r="AF20" s="193"/>
      <c r="AG20" s="193"/>
      <c r="AH20" s="193"/>
      <c r="AI20" s="179"/>
      <c r="AJ20" s="442"/>
      <c r="AK20" s="442"/>
      <c r="AL20" s="442"/>
      <c r="AM20" s="442"/>
      <c r="AN20" s="434"/>
      <c r="AO20" s="434"/>
      <c r="AP20" s="434"/>
      <c r="AQ20" s="434"/>
      <c r="AR20" s="434"/>
      <c r="AS20" s="431"/>
      <c r="AT20" s="431"/>
      <c r="AU20" s="431"/>
      <c r="AV20" s="431"/>
      <c r="AW20" s="431"/>
      <c r="AX20" s="431"/>
      <c r="AY20" s="431"/>
      <c r="AZ20" s="431"/>
      <c r="BA20" s="431"/>
      <c r="BB20" s="431"/>
      <c r="BC20" s="431"/>
      <c r="BD20" s="431"/>
      <c r="BE20" s="431"/>
      <c r="BF20" s="431"/>
      <c r="BG20" s="431"/>
      <c r="BH20" s="431"/>
      <c r="BI20" s="431"/>
      <c r="BJ20" s="431"/>
      <c r="BK20" s="431"/>
      <c r="BL20" s="431"/>
      <c r="BM20" s="431"/>
      <c r="BN20" s="1403" t="s">
        <v>757</v>
      </c>
      <c r="BO20" s="1403"/>
      <c r="BP20" s="1403"/>
      <c r="BQ20" s="1403"/>
      <c r="BR20" s="1403"/>
      <c r="BS20" s="1403"/>
      <c r="BT20" s="1403"/>
      <c r="BU20" s="1403"/>
      <c r="BV20" s="1403"/>
      <c r="BW20" s="1403"/>
      <c r="BX20" s="1403"/>
      <c r="BY20" s="1403"/>
      <c r="BZ20" s="1403"/>
      <c r="CA20" s="1403"/>
      <c r="CB20" s="1403"/>
      <c r="CC20" s="1403"/>
      <c r="CD20" s="1403"/>
      <c r="CE20" s="1403"/>
      <c r="CF20" s="1403"/>
      <c r="CG20" s="1403"/>
      <c r="CH20" s="1403"/>
      <c r="CI20" s="1403"/>
      <c r="CJ20" s="1403"/>
      <c r="CK20" s="1403"/>
      <c r="CL20" s="1403"/>
      <c r="CM20" s="1403"/>
      <c r="CN20" s="443"/>
      <c r="CO20" s="1422" t="s">
        <v>627</v>
      </c>
      <c r="CP20" s="1422"/>
      <c r="CQ20" s="1422"/>
      <c r="CR20" s="1422"/>
      <c r="CS20" s="444"/>
      <c r="CT20" s="1402" t="s">
        <v>628</v>
      </c>
      <c r="CU20" s="1402"/>
      <c r="CV20" s="1402"/>
      <c r="CW20" s="1402"/>
      <c r="CX20" s="161"/>
      <c r="CY20" s="161"/>
      <c r="CZ20" s="161"/>
      <c r="DA20" s="161"/>
      <c r="DB20" s="161"/>
      <c r="DC20" s="350"/>
      <c r="DD20" s="350"/>
      <c r="DE20" s="350"/>
      <c r="DF20" s="350"/>
      <c r="DG20" s="350"/>
      <c r="DH20" s="350"/>
      <c r="DI20" s="350"/>
      <c r="DJ20" s="171"/>
      <c r="DK20" s="171"/>
      <c r="DL20" s="171"/>
    </row>
    <row r="21" spans="1:116" ht="10.5" customHeight="1" thickTop="1">
      <c r="A21" s="1159" t="s">
        <v>856</v>
      </c>
      <c r="B21" s="1162"/>
      <c r="C21" s="1162"/>
      <c r="D21" s="1162"/>
      <c r="E21" s="1162"/>
      <c r="F21" s="1162"/>
      <c r="G21" s="176"/>
      <c r="H21" s="1334">
        <f>'能力'!I20</f>
        <v>16</v>
      </c>
      <c r="I21" s="1335"/>
      <c r="J21" s="1335"/>
      <c r="K21" s="1336"/>
      <c r="L21" s="434"/>
      <c r="M21" s="1316">
        <f>'能力'!L20</f>
        <v>3</v>
      </c>
      <c r="N21" s="1317"/>
      <c r="O21" s="1317"/>
      <c r="P21" s="1318"/>
      <c r="Q21" s="434"/>
      <c r="R21" s="1325"/>
      <c r="S21" s="1326"/>
      <c r="T21" s="1326"/>
      <c r="U21" s="1327"/>
      <c r="V21" s="434"/>
      <c r="W21" s="1263"/>
      <c r="X21" s="1264"/>
      <c r="Y21" s="1264"/>
      <c r="Z21" s="1265"/>
      <c r="AA21" s="176"/>
      <c r="AB21" s="176"/>
      <c r="AC21" s="1159" t="s">
        <v>215</v>
      </c>
      <c r="AD21" s="1159"/>
      <c r="AE21" s="1159"/>
      <c r="AF21" s="1159"/>
      <c r="AG21" s="1159"/>
      <c r="AH21" s="1159"/>
      <c r="AI21" s="176"/>
      <c r="AJ21" s="1393">
        <f>'能力'!J62</f>
        <v>16</v>
      </c>
      <c r="AK21" s="1394"/>
      <c r="AL21" s="1394"/>
      <c r="AM21" s="1395"/>
      <c r="AN21" s="176"/>
      <c r="AO21" s="1423">
        <v>10</v>
      </c>
      <c r="AP21" s="1424"/>
      <c r="AQ21" s="1424"/>
      <c r="AR21" s="1425"/>
      <c r="AS21" s="176"/>
      <c r="AT21" s="1350">
        <f>IF('能力'!Q62=0,"",'能力'!Q62)</f>
        <v>6</v>
      </c>
      <c r="AU21" s="1351"/>
      <c r="AV21" s="1351"/>
      <c r="AW21" s="1352"/>
      <c r="AX21" s="176"/>
      <c r="AY21" s="1350">
        <f>IF('能力'!S62=0,"",'能力'!S62)</f>
      </c>
      <c r="AZ21" s="1351"/>
      <c r="BA21" s="1351"/>
      <c r="BB21" s="1352"/>
      <c r="BC21" s="176"/>
      <c r="BD21" s="1350">
        <f>'能力'!O62</f>
        <v>0</v>
      </c>
      <c r="BE21" s="1351"/>
      <c r="BF21" s="1351"/>
      <c r="BG21" s="1352"/>
      <c r="BH21" s="176"/>
      <c r="BI21" s="1350">
        <f>'能力'!Z62</f>
        <v>0</v>
      </c>
      <c r="BJ21" s="1351"/>
      <c r="BK21" s="1351"/>
      <c r="BL21" s="1352"/>
      <c r="BM21" s="176"/>
      <c r="BN21" s="1373">
        <f>IF('能力'!U62=0,"",'能力'!U62)</f>
      </c>
      <c r="BO21" s="1374"/>
      <c r="BP21" s="1374"/>
      <c r="BQ21" s="1375"/>
      <c r="BR21" s="180"/>
      <c r="BS21" s="1373">
        <f>IF('能力'!AB62=0,"",'能力'!AB62)</f>
      </c>
      <c r="BT21" s="1374"/>
      <c r="BU21" s="1374"/>
      <c r="BV21" s="1375"/>
      <c r="BW21" s="180"/>
      <c r="BX21" s="1373">
        <f>IF('能力'!AE62=0,"",'能力'!AE62)</f>
      </c>
      <c r="BY21" s="1374"/>
      <c r="BZ21" s="1374"/>
      <c r="CA21" s="1375"/>
      <c r="CB21" s="180"/>
      <c r="CC21" s="1373">
        <f>IF('能力'!W62+'能力'!AG62=0,"",'能力'!W62+'能力'!AG62)</f>
      </c>
      <c r="CD21" s="1374"/>
      <c r="CE21" s="1374"/>
      <c r="CF21" s="1375"/>
      <c r="CG21" s="189"/>
      <c r="CH21" s="195"/>
      <c r="CI21" s="1404">
        <f>IF('能力'!AL93=0,"",'能力'!AL93)</f>
      </c>
      <c r="CJ21" s="1405"/>
      <c r="CK21" s="1405"/>
      <c r="CL21" s="1405"/>
      <c r="CM21" s="1405"/>
      <c r="CN21" s="1405"/>
      <c r="CO21" s="1405"/>
      <c r="CP21" s="1405"/>
      <c r="CQ21" s="1405"/>
      <c r="CR21" s="1405"/>
      <c r="CS21" s="1405"/>
      <c r="CT21" s="1405"/>
      <c r="CU21" s="1405"/>
      <c r="CV21" s="1405"/>
      <c r="CW21" s="1406"/>
      <c r="CX21" s="161"/>
      <c r="CY21" s="161"/>
      <c r="CZ21" s="161"/>
      <c r="DA21" s="161"/>
      <c r="DB21" s="161"/>
      <c r="DC21" s="350"/>
      <c r="DD21" s="350"/>
      <c r="DE21" s="358"/>
      <c r="DF21" s="358"/>
      <c r="DG21" s="358"/>
      <c r="DH21" s="358"/>
      <c r="DI21" s="358"/>
      <c r="DJ21" s="359"/>
      <c r="DK21" s="359"/>
      <c r="DL21" s="359"/>
    </row>
    <row r="22" spans="1:116" ht="10.5" customHeight="1">
      <c r="A22" s="1162"/>
      <c r="B22" s="1162"/>
      <c r="C22" s="1162"/>
      <c r="D22" s="1162"/>
      <c r="E22" s="1162"/>
      <c r="F22" s="1162"/>
      <c r="G22" s="176"/>
      <c r="H22" s="1337"/>
      <c r="I22" s="1338"/>
      <c r="J22" s="1338"/>
      <c r="K22" s="1339"/>
      <c r="L22" s="434"/>
      <c r="M22" s="1319"/>
      <c r="N22" s="1320"/>
      <c r="O22" s="1320"/>
      <c r="P22" s="1321"/>
      <c r="Q22" s="434"/>
      <c r="R22" s="1328"/>
      <c r="S22" s="1329"/>
      <c r="T22" s="1329"/>
      <c r="U22" s="1330"/>
      <c r="V22" s="434"/>
      <c r="W22" s="1266"/>
      <c r="X22" s="1267"/>
      <c r="Y22" s="1267"/>
      <c r="Z22" s="1268"/>
      <c r="AA22" s="176"/>
      <c r="AB22" s="176"/>
      <c r="AC22" s="1159"/>
      <c r="AD22" s="1159"/>
      <c r="AE22" s="1159"/>
      <c r="AF22" s="1159"/>
      <c r="AG22" s="1159"/>
      <c r="AH22" s="1159"/>
      <c r="AI22" s="176"/>
      <c r="AJ22" s="1396"/>
      <c r="AK22" s="1397"/>
      <c r="AL22" s="1397"/>
      <c r="AM22" s="1398"/>
      <c r="AN22" s="196" t="s">
        <v>213</v>
      </c>
      <c r="AO22" s="1426"/>
      <c r="AP22" s="1427"/>
      <c r="AQ22" s="1427"/>
      <c r="AR22" s="1428"/>
      <c r="AS22" s="177" t="s">
        <v>214</v>
      </c>
      <c r="AT22" s="1353"/>
      <c r="AU22" s="1354"/>
      <c r="AV22" s="1354"/>
      <c r="AW22" s="1355"/>
      <c r="AX22" s="177" t="s">
        <v>214</v>
      </c>
      <c r="AY22" s="1353"/>
      <c r="AZ22" s="1354"/>
      <c r="BA22" s="1354"/>
      <c r="BB22" s="1355"/>
      <c r="BC22" s="177" t="s">
        <v>214</v>
      </c>
      <c r="BD22" s="1353"/>
      <c r="BE22" s="1354"/>
      <c r="BF22" s="1354"/>
      <c r="BG22" s="1355"/>
      <c r="BH22" s="177" t="s">
        <v>214</v>
      </c>
      <c r="BI22" s="1353"/>
      <c r="BJ22" s="1354"/>
      <c r="BK22" s="1354"/>
      <c r="BL22" s="1355"/>
      <c r="BM22" s="177" t="s">
        <v>214</v>
      </c>
      <c r="BN22" s="1376"/>
      <c r="BO22" s="1354"/>
      <c r="BP22" s="1354"/>
      <c r="BQ22" s="1377"/>
      <c r="BR22" s="177" t="s">
        <v>214</v>
      </c>
      <c r="BS22" s="1376"/>
      <c r="BT22" s="1354"/>
      <c r="BU22" s="1354"/>
      <c r="BV22" s="1377"/>
      <c r="BW22" s="176" t="s">
        <v>218</v>
      </c>
      <c r="BX22" s="1376"/>
      <c r="BY22" s="1354"/>
      <c r="BZ22" s="1354"/>
      <c r="CA22" s="1377"/>
      <c r="CB22" s="176" t="s">
        <v>218</v>
      </c>
      <c r="CC22" s="1376"/>
      <c r="CD22" s="1354"/>
      <c r="CE22" s="1354"/>
      <c r="CF22" s="1377"/>
      <c r="CG22" s="189"/>
      <c r="CI22" s="1407"/>
      <c r="CJ22" s="1354"/>
      <c r="CK22" s="1354"/>
      <c r="CL22" s="1354"/>
      <c r="CM22" s="1354"/>
      <c r="CN22" s="1354"/>
      <c r="CO22" s="1354"/>
      <c r="CP22" s="1354"/>
      <c r="CQ22" s="1354"/>
      <c r="CR22" s="1354"/>
      <c r="CS22" s="1354"/>
      <c r="CT22" s="1354"/>
      <c r="CU22" s="1354"/>
      <c r="CV22" s="1354"/>
      <c r="CW22" s="1408"/>
      <c r="CX22" s="161"/>
      <c r="CY22" s="161"/>
      <c r="CZ22" s="161"/>
      <c r="DA22" s="161"/>
      <c r="DB22" s="161"/>
      <c r="DC22" s="350"/>
      <c r="DD22" s="350"/>
      <c r="DE22" s="350"/>
      <c r="DF22" s="350"/>
      <c r="DG22" s="350"/>
      <c r="DH22" s="350"/>
      <c r="DI22" s="350"/>
      <c r="DJ22" s="171"/>
      <c r="DK22" s="171"/>
      <c r="DL22" s="171"/>
    </row>
    <row r="23" spans="1:116" ht="10.5" customHeight="1" thickBot="1">
      <c r="A23" s="1162"/>
      <c r="B23" s="1162"/>
      <c r="C23" s="1162"/>
      <c r="D23" s="1162"/>
      <c r="E23" s="1162"/>
      <c r="F23" s="1162"/>
      <c r="G23" s="176"/>
      <c r="H23" s="1340"/>
      <c r="I23" s="1341"/>
      <c r="J23" s="1341"/>
      <c r="K23" s="1342"/>
      <c r="L23" s="434"/>
      <c r="M23" s="1322"/>
      <c r="N23" s="1323"/>
      <c r="O23" s="1323"/>
      <c r="P23" s="1324"/>
      <c r="Q23" s="434"/>
      <c r="R23" s="1331"/>
      <c r="S23" s="1332"/>
      <c r="T23" s="1332"/>
      <c r="U23" s="1333"/>
      <c r="V23" s="434"/>
      <c r="W23" s="1269"/>
      <c r="X23" s="1270"/>
      <c r="Y23" s="1270"/>
      <c r="Z23" s="1271"/>
      <c r="AA23" s="176"/>
      <c r="AB23" s="176"/>
      <c r="AC23" s="1421" t="s">
        <v>864</v>
      </c>
      <c r="AD23" s="1421"/>
      <c r="AE23" s="1421"/>
      <c r="AF23" s="1421"/>
      <c r="AG23" s="1421"/>
      <c r="AH23" s="1421"/>
      <c r="AI23" s="176"/>
      <c r="AJ23" s="1399"/>
      <c r="AK23" s="1400"/>
      <c r="AL23" s="1400"/>
      <c r="AM23" s="1401"/>
      <c r="AN23" s="176"/>
      <c r="AO23" s="1429"/>
      <c r="AP23" s="1430"/>
      <c r="AQ23" s="1430"/>
      <c r="AR23" s="1431"/>
      <c r="AS23" s="176"/>
      <c r="AT23" s="1356"/>
      <c r="AU23" s="1357"/>
      <c r="AV23" s="1357"/>
      <c r="AW23" s="1358"/>
      <c r="AX23" s="176"/>
      <c r="AY23" s="1356"/>
      <c r="AZ23" s="1357"/>
      <c r="BA23" s="1357"/>
      <c r="BB23" s="1358"/>
      <c r="BC23" s="176"/>
      <c r="BD23" s="1356"/>
      <c r="BE23" s="1357"/>
      <c r="BF23" s="1357"/>
      <c r="BG23" s="1358"/>
      <c r="BH23" s="176"/>
      <c r="BI23" s="1356"/>
      <c r="BJ23" s="1357"/>
      <c r="BK23" s="1357"/>
      <c r="BL23" s="1358"/>
      <c r="BM23" s="176"/>
      <c r="BN23" s="1378"/>
      <c r="BO23" s="1379"/>
      <c r="BP23" s="1379"/>
      <c r="BQ23" s="1380"/>
      <c r="BR23" s="180"/>
      <c r="BS23" s="1378"/>
      <c r="BT23" s="1379"/>
      <c r="BU23" s="1379"/>
      <c r="BV23" s="1380"/>
      <c r="BW23" s="180"/>
      <c r="BX23" s="1378"/>
      <c r="BY23" s="1379"/>
      <c r="BZ23" s="1379"/>
      <c r="CA23" s="1380"/>
      <c r="CB23" s="180"/>
      <c r="CC23" s="1378"/>
      <c r="CD23" s="1379"/>
      <c r="CE23" s="1379"/>
      <c r="CF23" s="1380"/>
      <c r="CG23" s="189"/>
      <c r="CI23" s="1409"/>
      <c r="CJ23" s="1410"/>
      <c r="CK23" s="1410"/>
      <c r="CL23" s="1410"/>
      <c r="CM23" s="1410"/>
      <c r="CN23" s="1410"/>
      <c r="CO23" s="1410"/>
      <c r="CP23" s="1410"/>
      <c r="CQ23" s="1410"/>
      <c r="CR23" s="1410"/>
      <c r="CS23" s="1410"/>
      <c r="CT23" s="1410"/>
      <c r="CU23" s="1410"/>
      <c r="CV23" s="1410"/>
      <c r="CW23" s="1411"/>
      <c r="CX23" s="161"/>
      <c r="CY23" s="161"/>
      <c r="CZ23" s="161"/>
      <c r="DA23" s="161"/>
      <c r="DB23" s="161"/>
      <c r="DC23" s="350"/>
      <c r="DD23" s="350"/>
      <c r="DE23" s="350"/>
      <c r="DF23" s="350"/>
      <c r="DG23" s="350"/>
      <c r="DH23" s="350"/>
      <c r="DI23" s="350"/>
      <c r="DJ23" s="171"/>
      <c r="DK23" s="171"/>
      <c r="DL23" s="171"/>
    </row>
    <row r="24" spans="1:116" ht="10.5" customHeight="1" thickBot="1">
      <c r="A24" s="377"/>
      <c r="B24" s="377"/>
      <c r="C24" s="377"/>
      <c r="D24" s="377"/>
      <c r="E24" s="377"/>
      <c r="F24" s="377"/>
      <c r="G24" s="176"/>
      <c r="H24" s="434"/>
      <c r="I24" s="434"/>
      <c r="J24" s="434"/>
      <c r="K24" s="434"/>
      <c r="L24" s="434"/>
      <c r="M24" s="434"/>
      <c r="N24" s="434"/>
      <c r="O24" s="434"/>
      <c r="P24" s="434"/>
      <c r="Q24" s="434"/>
      <c r="R24" s="434"/>
      <c r="S24" s="434"/>
      <c r="T24" s="434"/>
      <c r="U24" s="434"/>
      <c r="V24" s="434"/>
      <c r="W24" s="434"/>
      <c r="X24" s="434"/>
      <c r="Y24" s="434"/>
      <c r="Z24" s="434"/>
      <c r="AA24" s="176"/>
      <c r="AB24" s="176"/>
      <c r="AC24" s="197"/>
      <c r="AD24" s="197"/>
      <c r="AE24" s="197"/>
      <c r="AF24" s="197"/>
      <c r="AG24" s="197"/>
      <c r="AH24" s="197"/>
      <c r="AI24" s="179"/>
      <c r="AJ24" s="179"/>
      <c r="AK24" s="179"/>
      <c r="AL24" s="179"/>
      <c r="AM24" s="179"/>
      <c r="AT24" s="1366" t="s">
        <v>630</v>
      </c>
      <c r="AU24" s="1366"/>
      <c r="AV24" s="1366"/>
      <c r="AW24" s="1366"/>
      <c r="AX24" s="441"/>
      <c r="AY24" s="1366" t="s">
        <v>631</v>
      </c>
      <c r="AZ24" s="1366"/>
      <c r="BA24" s="1366"/>
      <c r="BB24" s="1366"/>
      <c r="BC24" s="433"/>
      <c r="BD24" s="1366" t="s">
        <v>759</v>
      </c>
      <c r="BE24" s="1366"/>
      <c r="BF24" s="1366"/>
      <c r="BG24" s="1366"/>
      <c r="BH24" s="433"/>
      <c r="BI24" s="1359" t="s">
        <v>632</v>
      </c>
      <c r="BJ24" s="1359"/>
      <c r="BK24" s="1359"/>
      <c r="BL24" s="1359"/>
      <c r="BM24" s="434"/>
      <c r="BN24" s="1359" t="s">
        <v>633</v>
      </c>
      <c r="BO24" s="1359"/>
      <c r="BP24" s="1359"/>
      <c r="BQ24" s="1359"/>
      <c r="BR24" s="1359" t="s">
        <v>634</v>
      </c>
      <c r="BS24" s="1359"/>
      <c r="BT24" s="1359"/>
      <c r="BU24" s="1359"/>
      <c r="BV24" s="1359"/>
      <c r="BW24" s="1359"/>
      <c r="BX24" s="1359" t="s">
        <v>760</v>
      </c>
      <c r="BY24" s="1359"/>
      <c r="BZ24" s="1359"/>
      <c r="CA24" s="1359"/>
      <c r="CB24" s="431"/>
      <c r="CC24" s="1359" t="s">
        <v>761</v>
      </c>
      <c r="CD24" s="1359"/>
      <c r="CE24" s="1359"/>
      <c r="CF24" s="1359"/>
      <c r="CG24" s="433"/>
      <c r="CH24" s="431"/>
      <c r="CI24" s="1359" t="s">
        <v>629</v>
      </c>
      <c r="CJ24" s="1359"/>
      <c r="CK24" s="1359"/>
      <c r="CL24" s="1359"/>
      <c r="CM24" s="1359"/>
      <c r="CN24" s="1359"/>
      <c r="CO24" s="1359"/>
      <c r="CP24" s="1359"/>
      <c r="CQ24" s="1359"/>
      <c r="CR24" s="1359"/>
      <c r="CS24" s="1359"/>
      <c r="CT24" s="1359"/>
      <c r="CU24" s="1359"/>
      <c r="CV24" s="1359"/>
      <c r="CW24" s="1359"/>
      <c r="CX24" s="161"/>
      <c r="CY24" s="161"/>
      <c r="CZ24" s="161"/>
      <c r="DA24" s="161"/>
      <c r="DB24" s="161"/>
      <c r="DC24" s="350"/>
      <c r="DD24" s="350"/>
      <c r="DE24" s="350"/>
      <c r="DF24" s="350"/>
      <c r="DG24" s="350"/>
      <c r="DH24" s="350"/>
      <c r="DI24" s="350"/>
      <c r="DJ24" s="171"/>
      <c r="DK24" s="171"/>
      <c r="DL24" s="171"/>
    </row>
    <row r="25" spans="1:116" ht="10.5" customHeight="1" thickTop="1">
      <c r="A25" s="1159" t="s">
        <v>855</v>
      </c>
      <c r="B25" s="1159"/>
      <c r="C25" s="1159"/>
      <c r="D25" s="1159"/>
      <c r="E25" s="1159"/>
      <c r="F25" s="1159"/>
      <c r="G25" s="176"/>
      <c r="H25" s="1334">
        <f>'能力'!I21</f>
        <v>10</v>
      </c>
      <c r="I25" s="1335"/>
      <c r="J25" s="1335"/>
      <c r="K25" s="1336"/>
      <c r="L25" s="434"/>
      <c r="M25" s="1316">
        <f>'能力'!L21</f>
        <v>0</v>
      </c>
      <c r="N25" s="1317"/>
      <c r="O25" s="1317"/>
      <c r="P25" s="1318"/>
      <c r="Q25" s="434"/>
      <c r="R25" s="1325"/>
      <c r="S25" s="1326"/>
      <c r="T25" s="1326"/>
      <c r="U25" s="1327"/>
      <c r="V25" s="434"/>
      <c r="W25" s="1263"/>
      <c r="X25" s="1264"/>
      <c r="Y25" s="1264"/>
      <c r="Z25" s="1265"/>
      <c r="AA25" s="176"/>
      <c r="AB25" s="176"/>
      <c r="AC25" s="1436" t="s">
        <v>865</v>
      </c>
      <c r="AD25" s="1436"/>
      <c r="AE25" s="1436"/>
      <c r="AF25" s="1436"/>
      <c r="AG25" s="1436"/>
      <c r="AH25" s="1436"/>
      <c r="AI25" s="176"/>
      <c r="AJ25" s="1434">
        <f>IF(AO25="No",'能力'!J64,"―")</f>
        <v>16</v>
      </c>
      <c r="AK25" s="1435"/>
      <c r="AL25" s="1435"/>
      <c r="AM25" s="1395"/>
      <c r="AN25" s="179"/>
      <c r="AO25" s="1360" t="str">
        <f>INDEX(AS25:AS26,'能力'!BT31)</f>
        <v>No</v>
      </c>
      <c r="AP25" s="1361"/>
      <c r="AQ25" s="1361"/>
      <c r="AR25" s="1362"/>
      <c r="AS25" s="198" t="s">
        <v>161</v>
      </c>
      <c r="AT25" s="1359"/>
      <c r="AU25" s="1359"/>
      <c r="AV25" s="1359"/>
      <c r="AW25" s="1359"/>
      <c r="AX25" s="431"/>
      <c r="AY25" s="1359"/>
      <c r="AZ25" s="1359"/>
      <c r="BA25" s="1359"/>
      <c r="BB25" s="1359"/>
      <c r="BC25" s="433"/>
      <c r="BD25" s="1359"/>
      <c r="BE25" s="1359"/>
      <c r="BF25" s="1359"/>
      <c r="BG25" s="1359"/>
      <c r="BH25" s="433"/>
      <c r="BI25" s="1304"/>
      <c r="BJ25" s="1304"/>
      <c r="BK25" s="1304"/>
      <c r="BL25" s="1304"/>
      <c r="BM25" s="434"/>
      <c r="BN25" s="1304"/>
      <c r="BO25" s="1304"/>
      <c r="BP25" s="1304"/>
      <c r="BQ25" s="1304"/>
      <c r="BR25" s="1359"/>
      <c r="BS25" s="1359"/>
      <c r="BT25" s="1359"/>
      <c r="BU25" s="1359"/>
      <c r="BV25" s="1359"/>
      <c r="BW25" s="1359"/>
      <c r="BX25" s="1304"/>
      <c r="BY25" s="1304"/>
      <c r="BZ25" s="1304"/>
      <c r="CA25" s="1304"/>
      <c r="CB25" s="431"/>
      <c r="CC25" s="1304"/>
      <c r="CD25" s="1304"/>
      <c r="CE25" s="1304"/>
      <c r="CF25" s="1304"/>
      <c r="CG25" s="433"/>
      <c r="CH25" s="431"/>
      <c r="CI25" s="1304"/>
      <c r="CJ25" s="1304"/>
      <c r="CK25" s="1304"/>
      <c r="CL25" s="1304"/>
      <c r="CM25" s="1304"/>
      <c r="CN25" s="1304"/>
      <c r="CO25" s="1304"/>
      <c r="CP25" s="1304"/>
      <c r="CQ25" s="1304"/>
      <c r="CR25" s="1304"/>
      <c r="CS25" s="1304"/>
      <c r="CT25" s="1304"/>
      <c r="CU25" s="1304"/>
      <c r="CV25" s="1304"/>
      <c r="CW25" s="1304"/>
      <c r="CX25" s="161"/>
      <c r="CY25" s="161"/>
      <c r="CZ25" s="161"/>
      <c r="DA25" s="161"/>
      <c r="DB25" s="161"/>
      <c r="DC25" s="350"/>
      <c r="DD25" s="350"/>
      <c r="DE25" s="350"/>
      <c r="DF25" s="350"/>
      <c r="DG25" s="350"/>
      <c r="DH25" s="350"/>
      <c r="DI25" s="350"/>
      <c r="DJ25" s="171"/>
      <c r="DK25" s="171"/>
      <c r="DL25" s="171"/>
    </row>
    <row r="26" spans="1:116" ht="10.5" customHeight="1" thickBot="1">
      <c r="A26" s="1159"/>
      <c r="B26" s="1159"/>
      <c r="C26" s="1159"/>
      <c r="D26" s="1159"/>
      <c r="E26" s="1159"/>
      <c r="F26" s="1159"/>
      <c r="G26" s="176"/>
      <c r="H26" s="1337"/>
      <c r="I26" s="1338"/>
      <c r="J26" s="1338"/>
      <c r="K26" s="1339"/>
      <c r="L26" s="434"/>
      <c r="M26" s="1319"/>
      <c r="N26" s="1320"/>
      <c r="O26" s="1320"/>
      <c r="P26" s="1321"/>
      <c r="Q26" s="434"/>
      <c r="R26" s="1328"/>
      <c r="S26" s="1329"/>
      <c r="T26" s="1329"/>
      <c r="U26" s="1330"/>
      <c r="V26" s="434"/>
      <c r="W26" s="1266"/>
      <c r="X26" s="1267"/>
      <c r="Y26" s="1267"/>
      <c r="Z26" s="1268"/>
      <c r="AA26" s="176"/>
      <c r="AB26" s="176"/>
      <c r="AC26" s="1436"/>
      <c r="AD26" s="1436"/>
      <c r="AE26" s="1436"/>
      <c r="AF26" s="1436"/>
      <c r="AG26" s="1436"/>
      <c r="AH26" s="1436"/>
      <c r="AI26" s="176"/>
      <c r="AJ26" s="1396"/>
      <c r="AK26" s="1397"/>
      <c r="AL26" s="1397"/>
      <c r="AM26" s="1398"/>
      <c r="AN26" s="179"/>
      <c r="AO26" s="1363"/>
      <c r="AP26" s="1364"/>
      <c r="AQ26" s="1364"/>
      <c r="AR26" s="1365"/>
      <c r="AS26" s="186" t="s">
        <v>162</v>
      </c>
      <c r="AU26" s="179"/>
      <c r="AV26" s="179"/>
      <c r="AW26" s="179"/>
      <c r="AX26" s="179"/>
      <c r="AY26" s="179"/>
      <c r="AZ26" s="179"/>
      <c r="BA26" s="179"/>
      <c r="BB26" s="179"/>
      <c r="BC26" s="179"/>
      <c r="BD26" s="179"/>
      <c r="BE26" s="179"/>
      <c r="BF26" s="176"/>
      <c r="BG26" s="1216" t="s">
        <v>873</v>
      </c>
      <c r="BH26" s="1381"/>
      <c r="BI26" s="1381"/>
      <c r="BJ26" s="1381"/>
      <c r="BK26" s="1381"/>
      <c r="BL26" s="1381"/>
      <c r="BM26" s="1381"/>
      <c r="BN26" s="1381"/>
      <c r="BO26" s="1381"/>
      <c r="BP26" s="1381"/>
      <c r="BQ26" s="1381"/>
      <c r="BR26" s="1381"/>
      <c r="BS26" s="1381"/>
      <c r="BT26" s="1381"/>
      <c r="BU26" s="1381"/>
      <c r="BV26" s="1381"/>
      <c r="BW26" s="1381"/>
      <c r="BX26" s="1381"/>
      <c r="BY26" s="1381"/>
      <c r="BZ26" s="1381"/>
      <c r="CA26" s="1381"/>
      <c r="CB26" s="1381"/>
      <c r="CC26" s="1381"/>
      <c r="CD26" s="1381"/>
      <c r="CE26" s="1381"/>
      <c r="CF26" s="1381"/>
      <c r="CG26" s="1381"/>
      <c r="CH26" s="1381"/>
      <c r="CI26" s="1381"/>
      <c r="CJ26" s="1381"/>
      <c r="CK26" s="1381"/>
      <c r="CL26" s="1381"/>
      <c r="CM26" s="1381"/>
      <c r="CN26" s="1381"/>
      <c r="CO26" s="1381"/>
      <c r="CP26" s="1381"/>
      <c r="CQ26" s="1381"/>
      <c r="CR26" s="1381"/>
      <c r="CS26" s="1381"/>
      <c r="CT26" s="1381"/>
      <c r="CU26" s="1381"/>
      <c r="CV26" s="1381"/>
      <c r="CW26" s="1381"/>
      <c r="CX26" s="161"/>
      <c r="CY26" s="161"/>
      <c r="CZ26" s="161"/>
      <c r="DA26" s="161"/>
      <c r="DB26" s="161"/>
      <c r="DC26" s="350"/>
      <c r="DD26" s="350"/>
      <c r="DE26" s="350"/>
      <c r="DF26" s="350"/>
      <c r="DG26" s="350"/>
      <c r="DH26" s="350"/>
      <c r="DI26" s="350"/>
      <c r="DJ26" s="171"/>
      <c r="DK26" s="171"/>
      <c r="DL26" s="171"/>
    </row>
    <row r="27" spans="1:116" ht="10.5" customHeight="1" thickBot="1">
      <c r="A27" s="1160"/>
      <c r="B27" s="1160"/>
      <c r="C27" s="1160"/>
      <c r="D27" s="1160"/>
      <c r="E27" s="1160"/>
      <c r="F27" s="1160"/>
      <c r="G27" s="176"/>
      <c r="H27" s="1340"/>
      <c r="I27" s="1341"/>
      <c r="J27" s="1341"/>
      <c r="K27" s="1342"/>
      <c r="L27" s="434"/>
      <c r="M27" s="1322"/>
      <c r="N27" s="1323"/>
      <c r="O27" s="1323"/>
      <c r="P27" s="1324"/>
      <c r="Q27" s="434"/>
      <c r="R27" s="1331"/>
      <c r="S27" s="1332"/>
      <c r="T27" s="1332"/>
      <c r="U27" s="1333"/>
      <c r="V27" s="434"/>
      <c r="W27" s="1269"/>
      <c r="X27" s="1270"/>
      <c r="Y27" s="1270"/>
      <c r="Z27" s="1271"/>
      <c r="AA27" s="176"/>
      <c r="AB27" s="176"/>
      <c r="AC27" s="1421" t="s">
        <v>863</v>
      </c>
      <c r="AD27" s="1421"/>
      <c r="AE27" s="1421"/>
      <c r="AF27" s="1421"/>
      <c r="AG27" s="1421"/>
      <c r="AH27" s="1421"/>
      <c r="AI27" s="176"/>
      <c r="AJ27" s="1399"/>
      <c r="AK27" s="1400"/>
      <c r="AL27" s="1400"/>
      <c r="AM27" s="1401"/>
      <c r="AN27" s="1367" t="s">
        <v>762</v>
      </c>
      <c r="AO27" s="1368"/>
      <c r="AP27" s="1368"/>
      <c r="AQ27" s="1368"/>
      <c r="AR27" s="1368"/>
      <c r="AS27" s="1368"/>
      <c r="AT27" s="441"/>
      <c r="AU27" s="431"/>
      <c r="AV27" s="431"/>
      <c r="AW27" s="431"/>
      <c r="AX27" s="431"/>
      <c r="AY27" s="431"/>
      <c r="AZ27" s="431"/>
      <c r="BA27" s="431"/>
      <c r="BB27" s="431"/>
      <c r="BC27" s="431"/>
      <c r="BD27" s="431"/>
      <c r="BE27" s="431"/>
      <c r="BF27" s="434"/>
      <c r="BG27" s="1381"/>
      <c r="BH27" s="1381"/>
      <c r="BI27" s="1381"/>
      <c r="BJ27" s="1381"/>
      <c r="BK27" s="1381"/>
      <c r="BL27" s="1381"/>
      <c r="BM27" s="1381"/>
      <c r="BN27" s="1381"/>
      <c r="BO27" s="1381"/>
      <c r="BP27" s="1381"/>
      <c r="BQ27" s="1381"/>
      <c r="BR27" s="1381"/>
      <c r="BS27" s="1381"/>
      <c r="BT27" s="1381"/>
      <c r="BU27" s="1381"/>
      <c r="BV27" s="1381"/>
      <c r="BW27" s="1381"/>
      <c r="BX27" s="1381"/>
      <c r="BY27" s="1381"/>
      <c r="BZ27" s="1381"/>
      <c r="CA27" s="1381"/>
      <c r="CB27" s="1381"/>
      <c r="CC27" s="1381"/>
      <c r="CD27" s="1381"/>
      <c r="CE27" s="1381"/>
      <c r="CF27" s="1381"/>
      <c r="CG27" s="1381"/>
      <c r="CH27" s="1381"/>
      <c r="CI27" s="1381"/>
      <c r="CJ27" s="1381"/>
      <c r="CK27" s="1381"/>
      <c r="CL27" s="1381"/>
      <c r="CM27" s="1381"/>
      <c r="CN27" s="1381"/>
      <c r="CO27" s="1381"/>
      <c r="CP27" s="1381"/>
      <c r="CQ27" s="1381"/>
      <c r="CR27" s="1381"/>
      <c r="CS27" s="1381"/>
      <c r="CT27" s="1381"/>
      <c r="CU27" s="1381"/>
      <c r="CV27" s="1381"/>
      <c r="CW27" s="1381"/>
      <c r="CX27" s="161"/>
      <c r="CY27" s="161"/>
      <c r="CZ27" s="161"/>
      <c r="DA27" s="161"/>
      <c r="DB27" s="161"/>
      <c r="DC27" s="350"/>
      <c r="DD27" s="350"/>
      <c r="DE27" s="350"/>
      <c r="DF27" s="350"/>
      <c r="DG27" s="350"/>
      <c r="DH27" s="350"/>
      <c r="DI27" s="350"/>
      <c r="DJ27" s="171"/>
      <c r="DK27" s="171"/>
      <c r="DL27" s="171"/>
    </row>
    <row r="28" spans="1:116" ht="10.5" customHeight="1" thickBot="1">
      <c r="A28" s="190"/>
      <c r="B28" s="190"/>
      <c r="C28" s="190"/>
      <c r="D28" s="190"/>
      <c r="E28" s="190"/>
      <c r="F28" s="190"/>
      <c r="G28" s="176"/>
      <c r="H28" s="434"/>
      <c r="I28" s="434"/>
      <c r="J28" s="434"/>
      <c r="K28" s="434"/>
      <c r="L28" s="434"/>
      <c r="M28" s="434"/>
      <c r="N28" s="434"/>
      <c r="O28" s="434"/>
      <c r="P28" s="434"/>
      <c r="Q28" s="434"/>
      <c r="R28" s="434"/>
      <c r="S28" s="434"/>
      <c r="T28" s="434"/>
      <c r="U28" s="434"/>
      <c r="V28" s="434"/>
      <c r="W28" s="434"/>
      <c r="X28" s="434"/>
      <c r="Y28" s="434"/>
      <c r="Z28" s="434"/>
      <c r="AA28" s="176"/>
      <c r="AB28" s="176"/>
      <c r="AC28" s="197"/>
      <c r="AD28" s="197"/>
      <c r="AE28" s="197"/>
      <c r="AF28" s="197"/>
      <c r="AG28" s="197"/>
      <c r="AH28" s="197"/>
      <c r="AI28" s="179"/>
      <c r="AJ28" s="194"/>
      <c r="AK28" s="194"/>
      <c r="AL28" s="194"/>
      <c r="AM28" s="194"/>
      <c r="AN28" s="179"/>
      <c r="AO28" s="179"/>
      <c r="AP28" s="179"/>
      <c r="AQ28" s="1217" t="s">
        <v>861</v>
      </c>
      <c r="AR28" s="1217"/>
      <c r="AS28" s="1217"/>
      <c r="AT28" s="1217"/>
      <c r="AU28" s="1217"/>
      <c r="AV28" s="1217"/>
      <c r="AW28" s="1217"/>
      <c r="AX28" s="1217"/>
      <c r="AY28" s="1217"/>
      <c r="AZ28" s="1217"/>
      <c r="BA28" s="179"/>
      <c r="BB28" s="1437">
        <f>'能力'!AW84</f>
        <v>0</v>
      </c>
      <c r="BC28" s="1438"/>
      <c r="BD28" s="1438"/>
      <c r="BE28" s="1439"/>
      <c r="BF28" s="339">
        <v>1</v>
      </c>
      <c r="BG28" s="1371" t="s">
        <v>648</v>
      </c>
      <c r="BH28" s="1371"/>
      <c r="BI28" s="1371"/>
      <c r="BJ28" s="1371"/>
      <c r="BK28" s="1371"/>
      <c r="BL28" s="1371"/>
      <c r="BM28" s="1371"/>
      <c r="BN28" s="1371"/>
      <c r="BO28" s="1371"/>
      <c r="BP28" s="1371"/>
      <c r="BQ28" s="1371"/>
      <c r="BR28" s="1371"/>
      <c r="BS28" s="1371"/>
      <c r="BT28" s="1371"/>
      <c r="BU28" s="1371"/>
      <c r="BV28" s="1371"/>
      <c r="BW28" s="1371"/>
      <c r="BX28" s="1371"/>
      <c r="BY28" s="1371"/>
      <c r="BZ28" s="1371" t="s">
        <v>649</v>
      </c>
      <c r="CA28" s="1371"/>
      <c r="CB28" s="1371"/>
      <c r="CC28" s="437"/>
      <c r="CD28" s="1371" t="s">
        <v>650</v>
      </c>
      <c r="CE28" s="1371"/>
      <c r="CF28" s="1371"/>
      <c r="CG28" s="1371"/>
      <c r="CH28" s="437"/>
      <c r="CI28" s="1382" t="s">
        <v>623</v>
      </c>
      <c r="CJ28" s="1382"/>
      <c r="CK28" s="1382"/>
      <c r="CL28" s="437"/>
      <c r="CM28" s="1371" t="s">
        <v>651</v>
      </c>
      <c r="CN28" s="1371"/>
      <c r="CO28" s="1371"/>
      <c r="CP28" s="437"/>
      <c r="CQ28" s="1371" t="s">
        <v>652</v>
      </c>
      <c r="CR28" s="1371"/>
      <c r="CS28" s="1371"/>
      <c r="CT28" s="1371"/>
      <c r="CU28" s="1371"/>
      <c r="CV28" s="1371"/>
      <c r="CW28" s="1371"/>
      <c r="CX28" s="161"/>
      <c r="CY28" s="161"/>
      <c r="CZ28" s="161"/>
      <c r="DA28" s="161"/>
      <c r="DB28" s="161"/>
      <c r="DC28" s="350"/>
      <c r="DD28" s="350"/>
      <c r="DE28" s="350"/>
      <c r="DF28" s="350"/>
      <c r="DG28" s="350"/>
      <c r="DH28" s="350"/>
      <c r="DI28" s="350"/>
      <c r="DJ28" s="171"/>
      <c r="DK28" s="171"/>
      <c r="DL28" s="171"/>
    </row>
    <row r="29" spans="1:116" ht="10.5" customHeight="1" thickTop="1">
      <c r="A29" s="1159" t="s">
        <v>854</v>
      </c>
      <c r="B29" s="1159"/>
      <c r="C29" s="1159"/>
      <c r="D29" s="1159"/>
      <c r="E29" s="1159"/>
      <c r="F29" s="1159"/>
      <c r="G29" s="176"/>
      <c r="H29" s="1334">
        <f>'能力'!I22</f>
        <v>10</v>
      </c>
      <c r="I29" s="1335"/>
      <c r="J29" s="1335"/>
      <c r="K29" s="1336"/>
      <c r="L29" s="434"/>
      <c r="M29" s="1316">
        <f>'能力'!L22</f>
        <v>0</v>
      </c>
      <c r="N29" s="1317"/>
      <c r="O29" s="1317"/>
      <c r="P29" s="1318"/>
      <c r="Q29" s="434"/>
      <c r="R29" s="1325"/>
      <c r="S29" s="1326"/>
      <c r="T29" s="1326"/>
      <c r="U29" s="1327"/>
      <c r="V29" s="434"/>
      <c r="W29" s="1263"/>
      <c r="X29" s="1264"/>
      <c r="Y29" s="1264"/>
      <c r="Z29" s="1265"/>
      <c r="AA29" s="176"/>
      <c r="AB29" s="179"/>
      <c r="AC29" s="1436" t="s">
        <v>867</v>
      </c>
      <c r="AD29" s="1436"/>
      <c r="AE29" s="1436"/>
      <c r="AF29" s="1436"/>
      <c r="AG29" s="1436"/>
      <c r="AH29" s="1436"/>
      <c r="AI29" s="176"/>
      <c r="AJ29" s="1434">
        <f>'能力'!J63</f>
        <v>10</v>
      </c>
      <c r="AK29" s="1435"/>
      <c r="AL29" s="1435"/>
      <c r="AM29" s="1395"/>
      <c r="AN29" s="199"/>
      <c r="AO29" s="199"/>
      <c r="AP29" s="179"/>
      <c r="AQ29" s="1217"/>
      <c r="AR29" s="1217"/>
      <c r="AS29" s="1217"/>
      <c r="AT29" s="1217"/>
      <c r="AU29" s="1217"/>
      <c r="AV29" s="1217"/>
      <c r="AW29" s="1217"/>
      <c r="AX29" s="1217"/>
      <c r="AY29" s="1217"/>
      <c r="AZ29" s="1217"/>
      <c r="BA29" s="179"/>
      <c r="BB29" s="1440"/>
      <c r="BC29" s="1441"/>
      <c r="BD29" s="1441"/>
      <c r="BE29" s="1442"/>
      <c r="BF29" s="1370">
        <f ca="1">INDIRECT(ADDRESS(ROW(BF29),111+$BF$28))</f>
        <v>0</v>
      </c>
      <c r="BG29" s="1371"/>
      <c r="BH29" s="1371"/>
      <c r="BI29" s="1371"/>
      <c r="BJ29" s="1371"/>
      <c r="BK29" s="1371"/>
      <c r="BL29" s="1371"/>
      <c r="BM29" s="1371"/>
      <c r="BN29" s="1371"/>
      <c r="BO29" s="1371"/>
      <c r="BP29" s="1371"/>
      <c r="BQ29" s="1371"/>
      <c r="BR29" s="1371"/>
      <c r="BS29" s="1371"/>
      <c r="BT29" s="1371"/>
      <c r="BU29" s="1371"/>
      <c r="BV29" s="1371"/>
      <c r="BW29" s="1371"/>
      <c r="BX29" s="1371"/>
      <c r="BY29" s="1371"/>
      <c r="BZ29" s="1371"/>
      <c r="CA29" s="1371"/>
      <c r="CB29" s="1371"/>
      <c r="CC29" s="437"/>
      <c r="CD29" s="1371"/>
      <c r="CE29" s="1371"/>
      <c r="CF29" s="1371"/>
      <c r="CG29" s="1371"/>
      <c r="CH29" s="437"/>
      <c r="CI29" s="1382"/>
      <c r="CJ29" s="1382"/>
      <c r="CK29" s="1382"/>
      <c r="CL29" s="437"/>
      <c r="CM29" s="1371"/>
      <c r="CN29" s="1371"/>
      <c r="CO29" s="1371"/>
      <c r="CP29" s="437"/>
      <c r="CQ29" s="1371"/>
      <c r="CR29" s="1371"/>
      <c r="CS29" s="1371"/>
      <c r="CT29" s="1371"/>
      <c r="CU29" s="1371"/>
      <c r="CV29" s="1371"/>
      <c r="CW29" s="1371"/>
      <c r="CX29" s="161"/>
      <c r="CY29" s="161"/>
      <c r="CZ29" s="161"/>
      <c r="DA29" s="161"/>
      <c r="DB29" s="161"/>
      <c r="DC29" s="350"/>
      <c r="DD29" s="350"/>
      <c r="DE29" s="350"/>
      <c r="DF29" s="350"/>
      <c r="DG29" s="350"/>
      <c r="DH29" s="350"/>
      <c r="DI29" s="350"/>
      <c r="DJ29" s="171"/>
      <c r="DK29" s="171"/>
      <c r="DL29" s="171"/>
    </row>
    <row r="30" spans="1:115" ht="10.5" customHeight="1" thickBot="1">
      <c r="A30" s="1159"/>
      <c r="B30" s="1159"/>
      <c r="C30" s="1159"/>
      <c r="D30" s="1159"/>
      <c r="E30" s="1159"/>
      <c r="F30" s="1159"/>
      <c r="G30" s="176"/>
      <c r="H30" s="1337"/>
      <c r="I30" s="1338"/>
      <c r="J30" s="1338"/>
      <c r="K30" s="1339"/>
      <c r="L30" s="434"/>
      <c r="M30" s="1319"/>
      <c r="N30" s="1320"/>
      <c r="O30" s="1320"/>
      <c r="P30" s="1321"/>
      <c r="Q30" s="434"/>
      <c r="R30" s="1328"/>
      <c r="S30" s="1329"/>
      <c r="T30" s="1329"/>
      <c r="U30" s="1330"/>
      <c r="V30" s="434"/>
      <c r="W30" s="1266"/>
      <c r="X30" s="1267"/>
      <c r="Y30" s="1267"/>
      <c r="Z30" s="1268"/>
      <c r="AA30" s="176"/>
      <c r="AB30" s="179"/>
      <c r="AC30" s="1436"/>
      <c r="AD30" s="1436"/>
      <c r="AE30" s="1436"/>
      <c r="AF30" s="1436"/>
      <c r="AG30" s="1436"/>
      <c r="AH30" s="1436"/>
      <c r="AI30" s="176"/>
      <c r="AJ30" s="1396"/>
      <c r="AK30" s="1397"/>
      <c r="AL30" s="1397"/>
      <c r="AM30" s="1398"/>
      <c r="AN30" s="199"/>
      <c r="AO30" s="199"/>
      <c r="AP30" s="179"/>
      <c r="AQ30" s="1217"/>
      <c r="AR30" s="1217"/>
      <c r="AS30" s="1217"/>
      <c r="AT30" s="1217"/>
      <c r="AU30" s="1217"/>
      <c r="AV30" s="1217"/>
      <c r="AW30" s="1217"/>
      <c r="AX30" s="1217"/>
      <c r="AY30" s="1217"/>
      <c r="AZ30" s="1217"/>
      <c r="BA30" s="179"/>
      <c r="BB30" s="1443"/>
      <c r="BC30" s="1444"/>
      <c r="BD30" s="1444"/>
      <c r="BE30" s="1445"/>
      <c r="BF30" s="1370"/>
      <c r="BG30" s="1372"/>
      <c r="BH30" s="1372"/>
      <c r="BI30" s="1372"/>
      <c r="BJ30" s="1372"/>
      <c r="BK30" s="1372"/>
      <c r="BL30" s="1372"/>
      <c r="BM30" s="1372"/>
      <c r="BN30" s="1372"/>
      <c r="BO30" s="1372"/>
      <c r="BP30" s="1372"/>
      <c r="BQ30" s="1372"/>
      <c r="BR30" s="1372"/>
      <c r="BS30" s="1372"/>
      <c r="BT30" s="1372"/>
      <c r="BU30" s="1372"/>
      <c r="BV30" s="1372"/>
      <c r="BW30" s="1372"/>
      <c r="BX30" s="1372"/>
      <c r="BY30" s="1372"/>
      <c r="BZ30" s="1372"/>
      <c r="CA30" s="1372"/>
      <c r="CB30" s="1372"/>
      <c r="CC30" s="438"/>
      <c r="CD30" s="1372"/>
      <c r="CE30" s="1372"/>
      <c r="CF30" s="1372"/>
      <c r="CG30" s="1372"/>
      <c r="CH30" s="438"/>
      <c r="CI30" s="1383"/>
      <c r="CJ30" s="1383"/>
      <c r="CK30" s="1383"/>
      <c r="CL30" s="439"/>
      <c r="CM30" s="1372"/>
      <c r="CN30" s="1372"/>
      <c r="CO30" s="1372"/>
      <c r="CP30" s="440"/>
      <c r="CQ30" s="1372"/>
      <c r="CR30" s="1372"/>
      <c r="CS30" s="1372"/>
      <c r="CT30" s="1372"/>
      <c r="CU30" s="1372"/>
      <c r="CV30" s="1372"/>
      <c r="CW30" s="1372"/>
      <c r="CX30" s="202" t="s">
        <v>845</v>
      </c>
      <c r="CY30" s="202" t="s">
        <v>846</v>
      </c>
      <c r="CZ30" s="202" t="s">
        <v>842</v>
      </c>
      <c r="DA30" s="202" t="s">
        <v>843</v>
      </c>
      <c r="DB30" s="202" t="s">
        <v>847</v>
      </c>
      <c r="DC30" s="202" t="s">
        <v>844</v>
      </c>
      <c r="DD30" s="202" t="s">
        <v>687</v>
      </c>
      <c r="DE30" s="202" t="s">
        <v>157</v>
      </c>
      <c r="DF30" s="202" t="s">
        <v>848</v>
      </c>
      <c r="DG30" s="192"/>
      <c r="DH30" s="352"/>
      <c r="DI30" s="352"/>
      <c r="DJ30" s="203"/>
      <c r="DK30" s="203"/>
    </row>
    <row r="31" spans="1:115" ht="10.5" customHeight="1" thickBot="1">
      <c r="A31" s="1160"/>
      <c r="B31" s="1160"/>
      <c r="C31" s="1160"/>
      <c r="D31" s="1160"/>
      <c r="E31" s="1160"/>
      <c r="F31" s="1160"/>
      <c r="G31" s="176"/>
      <c r="H31" s="1340"/>
      <c r="I31" s="1341"/>
      <c r="J31" s="1341"/>
      <c r="K31" s="1342"/>
      <c r="L31" s="434"/>
      <c r="M31" s="1322"/>
      <c r="N31" s="1323"/>
      <c r="O31" s="1323"/>
      <c r="P31" s="1324"/>
      <c r="Q31" s="434"/>
      <c r="R31" s="1331"/>
      <c r="S31" s="1332"/>
      <c r="T31" s="1332"/>
      <c r="U31" s="1333"/>
      <c r="V31" s="434"/>
      <c r="W31" s="1269"/>
      <c r="X31" s="1270"/>
      <c r="Y31" s="1270"/>
      <c r="Z31" s="1271"/>
      <c r="AA31" s="176"/>
      <c r="AB31" s="179"/>
      <c r="AC31" s="1421" t="s">
        <v>863</v>
      </c>
      <c r="AD31" s="1421"/>
      <c r="AE31" s="1421"/>
      <c r="AF31" s="1421"/>
      <c r="AG31" s="1421"/>
      <c r="AH31" s="1421"/>
      <c r="AI31" s="176"/>
      <c r="AJ31" s="1399"/>
      <c r="AK31" s="1400"/>
      <c r="AL31" s="1400"/>
      <c r="AM31" s="1401"/>
      <c r="AN31" s="199"/>
      <c r="AO31" s="199"/>
      <c r="AP31" s="179"/>
      <c r="AQ31" s="204"/>
      <c r="AR31" s="197"/>
      <c r="AS31" s="197"/>
      <c r="AT31" s="197"/>
      <c r="AU31" s="197"/>
      <c r="AV31" s="197"/>
      <c r="AW31" s="197"/>
      <c r="AX31" s="197"/>
      <c r="AY31" s="197"/>
      <c r="AZ31" s="197"/>
      <c r="BA31" s="179"/>
      <c r="BB31" s="431"/>
      <c r="BC31" s="431"/>
      <c r="BD31" s="431"/>
      <c r="BE31" s="521"/>
      <c r="BF31" s="1370">
        <f ca="1">INDIRECT(ADDRESS(ROW(BF31),111+$BF$28))</f>
        <v>1</v>
      </c>
      <c r="BG31" s="1228" t="str">
        <f>IF(BF31=60,"",INDEX('技能'!$B$12:$B$70,BF31))</f>
        <v>Acrobatics</v>
      </c>
      <c r="BH31" s="1228"/>
      <c r="BI31" s="1228"/>
      <c r="BJ31" s="1228"/>
      <c r="BK31" s="1228"/>
      <c r="BL31" s="1228"/>
      <c r="BM31" s="1228"/>
      <c r="BN31" s="1228"/>
      <c r="BO31" s="1228"/>
      <c r="BP31" s="1228"/>
      <c r="BQ31" s="1228"/>
      <c r="BR31" s="1228"/>
      <c r="BS31" s="1228"/>
      <c r="BT31" s="1228"/>
      <c r="BU31" s="1228"/>
      <c r="BV31" s="1228"/>
      <c r="BW31" s="1228"/>
      <c r="BX31" s="1228"/>
      <c r="BY31" s="1228"/>
      <c r="BZ31" s="1230" t="str">
        <f>IF(BF31=60,"",INDEX('技能'!$D$12:$D$70,BF31))</f>
        <v>DEX</v>
      </c>
      <c r="CA31" s="1230"/>
      <c r="CB31" s="1230"/>
      <c r="CC31" s="431">
        <f>IF(BF31=60,"",IF(INDEX('技能'!$P$12:$P$70,BF31)=0,"*",""))</f>
      </c>
      <c r="CD31" s="1202">
        <f>IF(BF31=60,"",IF(BZ31="なし","-",INDEX('技能'!$E$12:$E$70,BF31)))</f>
        <v>9</v>
      </c>
      <c r="CE31" s="1202"/>
      <c r="CF31" s="1202"/>
      <c r="CG31" s="1202"/>
      <c r="CH31" s="1204" t="s">
        <v>213</v>
      </c>
      <c r="CI31" s="1227">
        <f>IF(BF31=60,"",IF(BZ31="なし","-",INDEX('技能'!$F$12:$F$70,BF31)))</f>
        <v>0</v>
      </c>
      <c r="CJ31" s="1227"/>
      <c r="CK31" s="1227"/>
      <c r="CL31" s="1204" t="s">
        <v>214</v>
      </c>
      <c r="CM31" s="1218" t="str">
        <f>IF(BF31=60,"",IF(INDEX('技能'!$G$12:$G$70,BF31)&lt;&gt;0,INDEX('技能'!$O$12:$O$70,BF31)&amp;"#",INDEX('技能'!$O$12:$O$70,BF31)))</f>
        <v>11#</v>
      </c>
      <c r="CN31" s="1218"/>
      <c r="CO31" s="1218"/>
      <c r="CP31" s="1204"/>
      <c r="CQ31" s="1220" t="str">
        <f>IF(BF31=60,"",IF(LEN(CX32)&lt;=14,CX32,CONCATENATE(IF(SUM(CX31:DD31)&gt;=0,"+",""),SUM(CX31:DD31),"(Total)")))</f>
        <v>-5ACP</v>
      </c>
      <c r="CR31" s="1220"/>
      <c r="CS31" s="1220"/>
      <c r="CT31" s="1220"/>
      <c r="CU31" s="1220"/>
      <c r="CV31" s="1220"/>
      <c r="CW31" s="1220"/>
      <c r="CX31" s="186">
        <f>INDEX('技能'!$J$12:$J$71,' 印刷'!BF31)</f>
        <v>0</v>
      </c>
      <c r="CY31" s="186">
        <f>INDEX('技能'!$K$12:$K$71,BF31)</f>
        <v>0</v>
      </c>
      <c r="CZ31" s="186">
        <f>INDEX('技能'!$L$12:$L$71,BF31)</f>
        <v>0</v>
      </c>
      <c r="DA31" s="186">
        <f>INDEX('技能'!$M$12:$M$71,BF31)</f>
        <v>0</v>
      </c>
      <c r="DB31" s="186">
        <f>INDEX('技能'!$I$12:$I$71,BF31)</f>
        <v>0</v>
      </c>
      <c r="DC31" s="186">
        <f>INDEX('技能'!$H$12:$H$71,BF31)</f>
        <v>0</v>
      </c>
      <c r="DD31" s="186">
        <f>INDEX('技能'!$G$12:$G$71,BF31)</f>
        <v>1</v>
      </c>
      <c r="DE31" s="186">
        <f>INDEX('技能'!$P$12:$P$71,BF31)</f>
        <v>-5</v>
      </c>
      <c r="DF31" s="351" t="str">
        <f>INDEX('技能'!$N$12:$N$71,BF31)</f>
        <v>Yes</v>
      </c>
      <c r="DH31" s="1197">
        <v>1</v>
      </c>
      <c r="DI31" s="1194">
        <v>24</v>
      </c>
      <c r="DJ31" s="1688"/>
      <c r="DK31" s="1688"/>
    </row>
    <row r="32" spans="1:115" ht="10.5" customHeight="1" thickBot="1">
      <c r="A32" s="190"/>
      <c r="B32" s="190"/>
      <c r="C32" s="190"/>
      <c r="D32" s="190"/>
      <c r="E32" s="190"/>
      <c r="F32" s="190"/>
      <c r="G32" s="176"/>
      <c r="H32" s="434"/>
      <c r="I32" s="434"/>
      <c r="J32" s="434"/>
      <c r="K32" s="434"/>
      <c r="L32" s="434"/>
      <c r="M32" s="434"/>
      <c r="N32" s="434"/>
      <c r="O32" s="434"/>
      <c r="P32" s="434"/>
      <c r="Q32" s="434"/>
      <c r="R32" s="434"/>
      <c r="S32" s="434"/>
      <c r="T32" s="434"/>
      <c r="U32" s="434"/>
      <c r="V32" s="434"/>
      <c r="W32" s="434"/>
      <c r="X32" s="434"/>
      <c r="Y32" s="434"/>
      <c r="Z32" s="434"/>
      <c r="AA32" s="176"/>
      <c r="AB32" s="179"/>
      <c r="AC32" s="197"/>
      <c r="AD32" s="197"/>
      <c r="AE32" s="197"/>
      <c r="AF32" s="197"/>
      <c r="AG32" s="197"/>
      <c r="AH32" s="197"/>
      <c r="AI32" s="179"/>
      <c r="AJ32" s="194"/>
      <c r="AK32" s="194"/>
      <c r="AL32" s="194"/>
      <c r="AM32" s="194"/>
      <c r="AN32" s="179"/>
      <c r="AO32" s="179"/>
      <c r="AP32" s="179"/>
      <c r="AQ32" s="1369" t="s">
        <v>862</v>
      </c>
      <c r="AR32" s="1369"/>
      <c r="AS32" s="1369"/>
      <c r="AT32" s="1369"/>
      <c r="AU32" s="1369"/>
      <c r="AV32" s="1369"/>
      <c r="AW32" s="1369"/>
      <c r="AX32" s="1369"/>
      <c r="AY32" s="1369"/>
      <c r="AZ32" s="1369"/>
      <c r="BA32" s="179"/>
      <c r="BB32" s="1452">
        <f>'能力'!AQ84</f>
        <v>-5</v>
      </c>
      <c r="BC32" s="1453"/>
      <c r="BD32" s="1453"/>
      <c r="BE32" s="1454"/>
      <c r="BF32" s="1370"/>
      <c r="BG32" s="1229"/>
      <c r="BH32" s="1229"/>
      <c r="BI32" s="1229"/>
      <c r="BJ32" s="1229"/>
      <c r="BK32" s="1229"/>
      <c r="BL32" s="1229"/>
      <c r="BM32" s="1229"/>
      <c r="BN32" s="1229"/>
      <c r="BO32" s="1229"/>
      <c r="BP32" s="1229"/>
      <c r="BQ32" s="1229"/>
      <c r="BR32" s="1229"/>
      <c r="BS32" s="1229"/>
      <c r="BT32" s="1229"/>
      <c r="BU32" s="1229"/>
      <c r="BV32" s="1229"/>
      <c r="BW32" s="1229"/>
      <c r="BX32" s="1229"/>
      <c r="BY32" s="1229"/>
      <c r="BZ32" s="1231"/>
      <c r="CA32" s="1231"/>
      <c r="CB32" s="1231"/>
      <c r="CC32" s="431"/>
      <c r="CD32" s="1203"/>
      <c r="CE32" s="1203"/>
      <c r="CF32" s="1203"/>
      <c r="CG32" s="1203"/>
      <c r="CH32" s="1204"/>
      <c r="CI32" s="1201"/>
      <c r="CJ32" s="1201"/>
      <c r="CK32" s="1201"/>
      <c r="CL32" s="1204"/>
      <c r="CM32" s="1219"/>
      <c r="CN32" s="1219"/>
      <c r="CO32" s="1219"/>
      <c r="CP32" s="1204"/>
      <c r="CQ32" s="1206"/>
      <c r="CR32" s="1206"/>
      <c r="CS32" s="1206"/>
      <c r="CT32" s="1206"/>
      <c r="CU32" s="1206"/>
      <c r="CV32" s="1206"/>
      <c r="CW32" s="1206"/>
      <c r="CX32" s="186" t="str">
        <f>CONCATENATE(IF(CX31&lt;&gt;0,CONCATENATE(IF(CX31&gt;0,"+",""),CX31,"Env."),""),IF(CY31&lt;&gt;0,CONCATENATE(IF(CY31&gt;0,"+",""),CY31,"Misc"),""),IF(CZ31&lt;&gt;0,CONCATENATE(IF(CZ31&gt;0,"+",""),CZ31,"Size"),""),IF(DA31&lt;&gt;0,CONCATENATE(IF(DA31&gt;0,"+",""),DA31,"Race"),""),IF(DB31&lt;&gt;0,CONCATENATE(IF(DB31&gt;0,"+",""),DB31,"Cmp."),""),IF(DC31&lt;&gt;0,CONCATENATE(IF(DC31&gt;0,"+",""),DC31),""),IF(DE31="-","",IF(DE31=0,"",CONCATENATE(DE31,"ACP"))))</f>
        <v>-5ACP</v>
      </c>
      <c r="CY32" s="186"/>
      <c r="CZ32" s="186"/>
      <c r="DA32" s="186"/>
      <c r="DB32" s="186"/>
      <c r="DH32" s="1197"/>
      <c r="DI32" s="1194"/>
      <c r="DJ32" s="1688"/>
      <c r="DK32" s="1688"/>
    </row>
    <row r="33" spans="1:115" ht="10.5" customHeight="1" thickTop="1">
      <c r="A33" s="1159" t="s">
        <v>853</v>
      </c>
      <c r="B33" s="1159"/>
      <c r="C33" s="1159"/>
      <c r="D33" s="1159"/>
      <c r="E33" s="1159"/>
      <c r="F33" s="1159"/>
      <c r="G33" s="176"/>
      <c r="H33" s="1334">
        <f>'能力'!I23</f>
        <v>10</v>
      </c>
      <c r="I33" s="1335"/>
      <c r="J33" s="1335"/>
      <c r="K33" s="1336"/>
      <c r="L33" s="434"/>
      <c r="M33" s="1316">
        <f>'能力'!L23</f>
        <v>0</v>
      </c>
      <c r="N33" s="1317"/>
      <c r="O33" s="1317"/>
      <c r="P33" s="1318"/>
      <c r="Q33" s="434"/>
      <c r="R33" s="1325"/>
      <c r="S33" s="1326"/>
      <c r="T33" s="1326"/>
      <c r="U33" s="1327"/>
      <c r="V33" s="434"/>
      <c r="W33" s="1263"/>
      <c r="X33" s="1264"/>
      <c r="Y33" s="1264"/>
      <c r="Z33" s="1265"/>
      <c r="AA33" s="176"/>
      <c r="AB33" s="179"/>
      <c r="AC33" s="1461" t="s">
        <v>866</v>
      </c>
      <c r="AD33" s="1461"/>
      <c r="AE33" s="1461"/>
      <c r="AF33" s="1461"/>
      <c r="AG33" s="1461"/>
      <c r="AH33" s="1461"/>
      <c r="AI33" s="176"/>
      <c r="AJ33" s="1434">
        <f>'能力'!J65</f>
        <v>10</v>
      </c>
      <c r="AK33" s="1435"/>
      <c r="AL33" s="1435"/>
      <c r="AM33" s="1395"/>
      <c r="AP33" s="179"/>
      <c r="AQ33" s="1369"/>
      <c r="AR33" s="1369"/>
      <c r="AS33" s="1369"/>
      <c r="AT33" s="1369"/>
      <c r="AU33" s="1369"/>
      <c r="AV33" s="1369"/>
      <c r="AW33" s="1369"/>
      <c r="AX33" s="1369"/>
      <c r="AY33" s="1369"/>
      <c r="AZ33" s="1369"/>
      <c r="BA33" s="179"/>
      <c r="BB33" s="1455"/>
      <c r="BC33" s="1456"/>
      <c r="BD33" s="1456"/>
      <c r="BE33" s="1457"/>
      <c r="BF33" s="1370">
        <f ca="1">INDIRECT(ADDRESS(ROW(BF33),111+$BF$28))</f>
        <v>2</v>
      </c>
      <c r="BG33" s="1228" t="str">
        <f>IF(BF33=60,"",INDEX('技能'!$B$12:$B$70,BF33))</f>
        <v>Appraise</v>
      </c>
      <c r="BH33" s="1228"/>
      <c r="BI33" s="1228"/>
      <c r="BJ33" s="1228"/>
      <c r="BK33" s="1228"/>
      <c r="BL33" s="1228"/>
      <c r="BM33" s="1228"/>
      <c r="BN33" s="1228"/>
      <c r="BO33" s="1228"/>
      <c r="BP33" s="1228"/>
      <c r="BQ33" s="1228"/>
      <c r="BR33" s="1228"/>
      <c r="BS33" s="1228"/>
      <c r="BT33" s="1228"/>
      <c r="BU33" s="1228"/>
      <c r="BV33" s="1228"/>
      <c r="BW33" s="1228"/>
      <c r="BX33" s="1228"/>
      <c r="BY33" s="1228"/>
      <c r="BZ33" s="1230" t="str">
        <f>IF(BF33=60,"",INDEX('技能'!$D$12:$D$70,BF33))</f>
        <v>INT</v>
      </c>
      <c r="CA33" s="1230"/>
      <c r="CB33" s="1230"/>
      <c r="CC33" s="431">
        <f>IF(BF33=60,"",IF(INDEX('技能'!$P$12:$P$70,BF33)=0,"*",""))</f>
      </c>
      <c r="CD33" s="1202">
        <f>IF(BF33=60,"",IF(BZ33="なし","-",INDEX('技能'!$E$12:$E$70,BF33)))</f>
        <v>0</v>
      </c>
      <c r="CE33" s="1202"/>
      <c r="CF33" s="1202"/>
      <c r="CG33" s="1202"/>
      <c r="CH33" s="1204" t="s">
        <v>213</v>
      </c>
      <c r="CI33" s="1200">
        <f>IF(BF33=60,"",IF(BZ33="なし","-",INDEX('技能'!$F$12:$F$70,BF33)))</f>
        <v>0</v>
      </c>
      <c r="CJ33" s="1200"/>
      <c r="CK33" s="1200"/>
      <c r="CL33" s="1204" t="s">
        <v>214</v>
      </c>
      <c r="CM33" s="1218">
        <f>IF(BF33=60,"",IF(INDEX('技能'!$G$12:$G$70,BF33)&lt;&gt;0,INDEX('技能'!$O$12:$O$70,BF33)&amp;"#",INDEX('技能'!$O$12:$O$70,BF33)))</f>
        <v>0</v>
      </c>
      <c r="CN33" s="1218"/>
      <c r="CO33" s="1218"/>
      <c r="CP33" s="1204"/>
      <c r="CQ33" s="1205">
        <f>IF(BF33=60,"",IF(LEN(CX34)&lt;=14,CX34,CONCATENATE(IF(SUM(CX33:DD33)&gt;=0,"+",""),SUM(CX33:DD33),"(Total)")))</f>
      </c>
      <c r="CR33" s="1205"/>
      <c r="CS33" s="1205"/>
      <c r="CT33" s="1205"/>
      <c r="CU33" s="1205"/>
      <c r="CV33" s="1205"/>
      <c r="CW33" s="1205"/>
      <c r="CX33" s="186">
        <f>INDEX('技能'!$J$12:$J$71,' 印刷'!BF33)</f>
        <v>0</v>
      </c>
      <c r="CY33" s="186">
        <f>INDEX('技能'!$K$12:$K$71,BF33)</f>
        <v>0</v>
      </c>
      <c r="CZ33" s="186">
        <f>INDEX('技能'!$L$12:$L$71,BF33)</f>
        <v>0</v>
      </c>
      <c r="DA33" s="186">
        <f>INDEX('技能'!$M$12:$M$71,BF33)</f>
        <v>0</v>
      </c>
      <c r="DB33" s="186">
        <f>INDEX('技能'!$I$12:$I$71,BF33)</f>
        <v>0</v>
      </c>
      <c r="DC33" s="186">
        <f>INDEX('技能'!$H$12:$H$71,BF33)</f>
        <v>0</v>
      </c>
      <c r="DD33" s="186">
        <f>INDEX('技能'!$G$12:$G$71,BF33)</f>
        <v>0</v>
      </c>
      <c r="DE33" s="186" t="str">
        <f>INDEX('技能'!$P$12:$P$71,BF33)</f>
        <v>-</v>
      </c>
      <c r="DF33" s="351" t="str">
        <f>INDEX('技能'!$N$12:$N$71,BF33)</f>
        <v>Yes</v>
      </c>
      <c r="DH33" s="1197">
        <v>2</v>
      </c>
      <c r="DI33" s="1194">
        <v>45</v>
      </c>
      <c r="DJ33" s="1688"/>
      <c r="DK33" s="1688"/>
    </row>
    <row r="34" spans="1:115" ht="10.5" customHeight="1" thickBot="1">
      <c r="A34" s="1159"/>
      <c r="B34" s="1159"/>
      <c r="C34" s="1159"/>
      <c r="D34" s="1159"/>
      <c r="E34" s="1159"/>
      <c r="F34" s="1159"/>
      <c r="G34" s="176"/>
      <c r="H34" s="1337"/>
      <c r="I34" s="1338"/>
      <c r="J34" s="1338"/>
      <c r="K34" s="1339"/>
      <c r="L34" s="434"/>
      <c r="M34" s="1319"/>
      <c r="N34" s="1320"/>
      <c r="O34" s="1320"/>
      <c r="P34" s="1321"/>
      <c r="Q34" s="434"/>
      <c r="R34" s="1328"/>
      <c r="S34" s="1329"/>
      <c r="T34" s="1329"/>
      <c r="U34" s="1330"/>
      <c r="V34" s="434"/>
      <c r="W34" s="1266"/>
      <c r="X34" s="1267"/>
      <c r="Y34" s="1267"/>
      <c r="Z34" s="1268"/>
      <c r="AA34" s="176"/>
      <c r="AB34" s="179"/>
      <c r="AC34" s="1461"/>
      <c r="AD34" s="1461"/>
      <c r="AE34" s="1461"/>
      <c r="AF34" s="1461"/>
      <c r="AG34" s="1461"/>
      <c r="AH34" s="1461"/>
      <c r="AI34" s="176"/>
      <c r="AJ34" s="1396"/>
      <c r="AK34" s="1397"/>
      <c r="AL34" s="1397"/>
      <c r="AM34" s="1398"/>
      <c r="AP34" s="179"/>
      <c r="AQ34" s="1369"/>
      <c r="AR34" s="1369"/>
      <c r="AS34" s="1369"/>
      <c r="AT34" s="1369"/>
      <c r="AU34" s="1369"/>
      <c r="AV34" s="1369"/>
      <c r="AW34" s="1369"/>
      <c r="AX34" s="1369"/>
      <c r="AY34" s="1369"/>
      <c r="AZ34" s="1369"/>
      <c r="BA34" s="179"/>
      <c r="BB34" s="1458"/>
      <c r="BC34" s="1459"/>
      <c r="BD34" s="1459"/>
      <c r="BE34" s="1460"/>
      <c r="BF34" s="1370"/>
      <c r="BG34" s="1229"/>
      <c r="BH34" s="1229"/>
      <c r="BI34" s="1229"/>
      <c r="BJ34" s="1229"/>
      <c r="BK34" s="1229"/>
      <c r="BL34" s="1229"/>
      <c r="BM34" s="1229"/>
      <c r="BN34" s="1229"/>
      <c r="BO34" s="1229"/>
      <c r="BP34" s="1229"/>
      <c r="BQ34" s="1229"/>
      <c r="BR34" s="1229"/>
      <c r="BS34" s="1229"/>
      <c r="BT34" s="1229"/>
      <c r="BU34" s="1229"/>
      <c r="BV34" s="1229"/>
      <c r="BW34" s="1229"/>
      <c r="BX34" s="1229"/>
      <c r="BY34" s="1229"/>
      <c r="BZ34" s="1231"/>
      <c r="CA34" s="1231"/>
      <c r="CB34" s="1231"/>
      <c r="CC34" s="431"/>
      <c r="CD34" s="1203"/>
      <c r="CE34" s="1203"/>
      <c r="CF34" s="1203"/>
      <c r="CG34" s="1203"/>
      <c r="CH34" s="1204"/>
      <c r="CI34" s="1201"/>
      <c r="CJ34" s="1201"/>
      <c r="CK34" s="1201"/>
      <c r="CL34" s="1204"/>
      <c r="CM34" s="1219"/>
      <c r="CN34" s="1219"/>
      <c r="CO34" s="1219"/>
      <c r="CP34" s="1204"/>
      <c r="CQ34" s="1206"/>
      <c r="CR34" s="1206"/>
      <c r="CS34" s="1206"/>
      <c r="CT34" s="1206"/>
      <c r="CU34" s="1206"/>
      <c r="CV34" s="1206"/>
      <c r="CW34" s="1206"/>
      <c r="CX34" s="186">
        <f>CONCATENATE(IF(CX33&lt;&gt;0,CONCATENATE(IF(CX33&gt;0,"+",""),CX33,"Env."),""),IF(CY33&lt;&gt;0,CONCATENATE(IF(CY33&gt;0,"+",""),CY33,"Misc"),""),IF(CZ33&lt;&gt;0,CONCATENATE(IF(CZ33&gt;0,"+",""),CZ33,"Size"),""),IF(DA33&lt;&gt;0,CONCATENATE(IF(DA33&gt;0,"+",""),DA33,"Race"),""),IF(DB33&lt;&gt;0,CONCATENATE(IF(DB33&gt;0,"+",""),DB33,"Cmp."),""),IF(DC33&lt;&gt;0,CONCATENATE(IF(DC33&gt;0,"+",""),DC33),""),IF(DE33="-","",IF(DE33=0,"",CONCATENATE(DE33,"ACP"))))</f>
      </c>
      <c r="CY34" s="186"/>
      <c r="CZ34" s="186"/>
      <c r="DA34" s="186"/>
      <c r="DB34" s="186"/>
      <c r="DH34" s="1197"/>
      <c r="DI34" s="1194"/>
      <c r="DJ34" s="1688"/>
      <c r="DK34" s="1688"/>
    </row>
    <row r="35" spans="1:115" ht="10.5" customHeight="1" thickBot="1">
      <c r="A35" s="1160"/>
      <c r="B35" s="1160"/>
      <c r="C35" s="1160"/>
      <c r="D35" s="1160"/>
      <c r="E35" s="1160"/>
      <c r="F35" s="1160"/>
      <c r="G35" s="176"/>
      <c r="H35" s="1340"/>
      <c r="I35" s="1341"/>
      <c r="J35" s="1341"/>
      <c r="K35" s="1342"/>
      <c r="L35" s="434"/>
      <c r="M35" s="1322"/>
      <c r="N35" s="1323"/>
      <c r="O35" s="1323"/>
      <c r="P35" s="1324"/>
      <c r="Q35" s="434"/>
      <c r="R35" s="1331"/>
      <c r="S35" s="1332"/>
      <c r="T35" s="1332"/>
      <c r="U35" s="1333"/>
      <c r="V35" s="434"/>
      <c r="W35" s="1269"/>
      <c r="X35" s="1270"/>
      <c r="Y35" s="1270"/>
      <c r="Z35" s="1271"/>
      <c r="AA35" s="176"/>
      <c r="AB35" s="176"/>
      <c r="AC35" s="1421" t="s">
        <v>863</v>
      </c>
      <c r="AD35" s="1421"/>
      <c r="AE35" s="1421"/>
      <c r="AF35" s="1421"/>
      <c r="AG35" s="1421"/>
      <c r="AH35" s="1421"/>
      <c r="AI35" s="176"/>
      <c r="AJ35" s="1399"/>
      <c r="AK35" s="1400"/>
      <c r="AL35" s="1400"/>
      <c r="AM35" s="1401"/>
      <c r="AP35" s="179"/>
      <c r="AU35" s="179"/>
      <c r="AV35" s="179"/>
      <c r="AW35" s="179"/>
      <c r="AX35" s="179"/>
      <c r="AY35" s="179"/>
      <c r="AZ35" s="179"/>
      <c r="BA35" s="179"/>
      <c r="BE35" s="205"/>
      <c r="BF35" s="1370">
        <f ca="1">INDIRECT(ADDRESS(ROW(BF35),111+$BF$28))</f>
        <v>3</v>
      </c>
      <c r="BG35" s="1228" t="str">
        <f>IF(BF35=60,"",INDEX('技能'!$B$12:$B$70,BF35))</f>
        <v>Bluff</v>
      </c>
      <c r="BH35" s="1228"/>
      <c r="BI35" s="1228"/>
      <c r="BJ35" s="1228"/>
      <c r="BK35" s="1228"/>
      <c r="BL35" s="1228"/>
      <c r="BM35" s="1228"/>
      <c r="BN35" s="1228"/>
      <c r="BO35" s="1228"/>
      <c r="BP35" s="1228"/>
      <c r="BQ35" s="1228"/>
      <c r="BR35" s="1228"/>
      <c r="BS35" s="1228"/>
      <c r="BT35" s="1228"/>
      <c r="BU35" s="1228"/>
      <c r="BV35" s="1228"/>
      <c r="BW35" s="1228"/>
      <c r="BX35" s="1228"/>
      <c r="BY35" s="1228"/>
      <c r="BZ35" s="1230" t="str">
        <f>IF(BF35=60,"",INDEX('技能'!$D$12:$D$70,BF35))</f>
        <v>CHA</v>
      </c>
      <c r="CA35" s="1230"/>
      <c r="CB35" s="1230"/>
      <c r="CC35" s="431">
        <f>IF(BF35=60,"",IF(INDEX('技能'!$P$12:$P$70,BF35)=0,"*",""))</f>
      </c>
      <c r="CD35" s="1202">
        <f>IF(BF35=60,"",IF(BZ35="なし","-",INDEX('技能'!$E$12:$E$70,BF35)))</f>
        <v>0</v>
      </c>
      <c r="CE35" s="1202"/>
      <c r="CF35" s="1202"/>
      <c r="CG35" s="1202"/>
      <c r="CH35" s="1204" t="s">
        <v>213</v>
      </c>
      <c r="CI35" s="1200">
        <f>IF(BF35=60,"",IF(BZ35="なし","-",INDEX('技能'!$F$12:$F$70,BF35)))</f>
        <v>0</v>
      </c>
      <c r="CJ35" s="1200"/>
      <c r="CK35" s="1200"/>
      <c r="CL35" s="1204" t="s">
        <v>214</v>
      </c>
      <c r="CM35" s="1218">
        <f>IF(BF35=60,"",IF(INDEX('技能'!$G$12:$G$70,BF35)&lt;&gt;0,INDEX('技能'!$O$12:$O$70,BF35)&amp;"#",INDEX('技能'!$O$12:$O$70,BF35)))</f>
        <v>0</v>
      </c>
      <c r="CN35" s="1218"/>
      <c r="CO35" s="1218"/>
      <c r="CP35" s="1204"/>
      <c r="CQ35" s="1205">
        <f>IF(BF35=60,"",IF(LEN(CX36)&lt;=14,CX36,CONCATENATE(IF(SUM(CX35:DD35)&gt;=0,"+",""),SUM(CX35:DD35),"(Total)")))</f>
      </c>
      <c r="CR35" s="1205"/>
      <c r="CS35" s="1205"/>
      <c r="CT35" s="1205"/>
      <c r="CU35" s="1205"/>
      <c r="CV35" s="1205"/>
      <c r="CW35" s="1205"/>
      <c r="CX35" s="186">
        <f>INDEX('技能'!$J$12:$J$71,' 印刷'!BF35)</f>
        <v>0</v>
      </c>
      <c r="CY35" s="186">
        <f>INDEX('技能'!$K$12:$K$71,BF35)</f>
        <v>0</v>
      </c>
      <c r="CZ35" s="186">
        <f>INDEX('技能'!$L$12:$L$71,BF35)</f>
        <v>0</v>
      </c>
      <c r="DA35" s="186">
        <f>INDEX('技能'!$M$12:$M$71,BF35)</f>
        <v>0</v>
      </c>
      <c r="DB35" s="186">
        <f>INDEX('技能'!$I$12:$I$71,BF35)</f>
        <v>0</v>
      </c>
      <c r="DC35" s="186">
        <f>INDEX('技能'!$H$12:$H$71,BF35)</f>
        <v>0</v>
      </c>
      <c r="DD35" s="186">
        <f>INDEX('技能'!$G$12:$G$71,BF35)</f>
        <v>0</v>
      </c>
      <c r="DE35" s="186" t="str">
        <f>INDEX('技能'!$P$12:$P$71,BF35)</f>
        <v>-</v>
      </c>
      <c r="DF35" s="351" t="str">
        <f>INDEX('技能'!$N$12:$N$71,BF35)</f>
        <v>Yes</v>
      </c>
      <c r="DG35" s="192"/>
      <c r="DH35" s="1197">
        <v>3</v>
      </c>
      <c r="DI35" s="1194">
        <v>48</v>
      </c>
      <c r="DJ35" s="1688"/>
      <c r="DK35" s="1688"/>
    </row>
    <row r="36" spans="1:115" ht="10.5" customHeight="1">
      <c r="A36" s="1344" t="s">
        <v>756</v>
      </c>
      <c r="B36" s="1345"/>
      <c r="C36" s="1345"/>
      <c r="D36" s="1345"/>
      <c r="E36" s="1345"/>
      <c r="F36" s="1345"/>
      <c r="G36" s="1345"/>
      <c r="H36" s="1345"/>
      <c r="I36" s="1345"/>
      <c r="J36" s="1345"/>
      <c r="K36" s="1345"/>
      <c r="M36" s="441"/>
      <c r="N36" s="441"/>
      <c r="O36" s="441"/>
      <c r="P36" s="441"/>
      <c r="Q36" s="458"/>
      <c r="R36" s="1306" t="s">
        <v>674</v>
      </c>
      <c r="S36" s="1173"/>
      <c r="T36" s="1173"/>
      <c r="U36" s="1173"/>
      <c r="V36" s="434"/>
      <c r="W36" s="1171" t="s">
        <v>668</v>
      </c>
      <c r="X36" s="1172"/>
      <c r="Y36" s="1172"/>
      <c r="Z36" s="1172"/>
      <c r="AA36" s="434"/>
      <c r="AB36" s="1171" t="s">
        <v>675</v>
      </c>
      <c r="AC36" s="1172"/>
      <c r="AD36" s="1172"/>
      <c r="AE36" s="1172"/>
      <c r="AF36" s="434"/>
      <c r="AG36" s="1171" t="s">
        <v>669</v>
      </c>
      <c r="AH36" s="1172"/>
      <c r="AI36" s="1172"/>
      <c r="AJ36" s="1172"/>
      <c r="AK36" s="434"/>
      <c r="AL36" s="1171" t="s">
        <v>670</v>
      </c>
      <c r="AM36" s="1172"/>
      <c r="AN36" s="1172"/>
      <c r="AO36" s="1172"/>
      <c r="AP36" s="431"/>
      <c r="AQ36" s="1446" t="s">
        <v>676</v>
      </c>
      <c r="AR36" s="1447"/>
      <c r="AS36" s="1447"/>
      <c r="AT36" s="1447"/>
      <c r="AU36" s="1447"/>
      <c r="AV36" s="1447"/>
      <c r="AW36" s="1447"/>
      <c r="AX36" s="1447"/>
      <c r="AY36" s="1447"/>
      <c r="AZ36" s="1447"/>
      <c r="BA36" s="1447"/>
      <c r="BB36" s="1447"/>
      <c r="BC36" s="1447"/>
      <c r="BD36" s="1447"/>
      <c r="BE36" s="1448"/>
      <c r="BF36" s="1370"/>
      <c r="BG36" s="1229"/>
      <c r="BH36" s="1229"/>
      <c r="BI36" s="1229"/>
      <c r="BJ36" s="1229"/>
      <c r="BK36" s="1229"/>
      <c r="BL36" s="1229"/>
      <c r="BM36" s="1229"/>
      <c r="BN36" s="1229"/>
      <c r="BO36" s="1229"/>
      <c r="BP36" s="1229"/>
      <c r="BQ36" s="1229"/>
      <c r="BR36" s="1229"/>
      <c r="BS36" s="1229"/>
      <c r="BT36" s="1229"/>
      <c r="BU36" s="1229"/>
      <c r="BV36" s="1229"/>
      <c r="BW36" s="1229"/>
      <c r="BX36" s="1229"/>
      <c r="BY36" s="1229"/>
      <c r="BZ36" s="1231"/>
      <c r="CA36" s="1231"/>
      <c r="CB36" s="1231"/>
      <c r="CC36" s="431"/>
      <c r="CD36" s="1203"/>
      <c r="CE36" s="1203"/>
      <c r="CF36" s="1203"/>
      <c r="CG36" s="1203"/>
      <c r="CH36" s="1204"/>
      <c r="CI36" s="1201"/>
      <c r="CJ36" s="1201"/>
      <c r="CK36" s="1201"/>
      <c r="CL36" s="1204"/>
      <c r="CM36" s="1219"/>
      <c r="CN36" s="1219"/>
      <c r="CO36" s="1219"/>
      <c r="CP36" s="1204"/>
      <c r="CQ36" s="1206"/>
      <c r="CR36" s="1206"/>
      <c r="CS36" s="1206"/>
      <c r="CT36" s="1206"/>
      <c r="CU36" s="1206"/>
      <c r="CV36" s="1206"/>
      <c r="CW36" s="1206"/>
      <c r="CX36" s="186">
        <f>CONCATENATE(IF(CX35&lt;&gt;0,CONCATENATE(IF(CX35&gt;0,"+",""),CX35,"Env."),""),IF(CY35&lt;&gt;0,CONCATENATE(IF(CY35&gt;0,"+",""),CY35,"Misc"),""),IF(CZ35&lt;&gt;0,CONCATENATE(IF(CZ35&gt;0,"+",""),CZ35,"Size"),""),IF(DA35&lt;&gt;0,CONCATENATE(IF(DA35&gt;0,"+",""),DA35,"Race"),""),IF(DB35&lt;&gt;0,CONCATENATE(IF(DB35&gt;0,"+",""),DB35,"Cmp."),""),IF(DC35&lt;&gt;0,CONCATENATE(IF(DC35&gt;0,"+",""),DC35),""),IF(DE35="-","",IF(DE35=0,"",CONCATENATE(DE35,"ACP"))))</f>
      </c>
      <c r="CY36" s="186"/>
      <c r="CZ36" s="186"/>
      <c r="DA36" s="186"/>
      <c r="DB36" s="186"/>
      <c r="DG36" s="192"/>
      <c r="DH36" s="1197"/>
      <c r="DI36" s="1194"/>
      <c r="DJ36" s="1688"/>
      <c r="DK36" s="1688"/>
    </row>
    <row r="37" spans="1:115" ht="10.5" customHeight="1" thickBot="1">
      <c r="A37" s="1345"/>
      <c r="B37" s="1345"/>
      <c r="C37" s="1345"/>
      <c r="D37" s="1345"/>
      <c r="E37" s="1345"/>
      <c r="F37" s="1345"/>
      <c r="G37" s="1345"/>
      <c r="H37" s="1345"/>
      <c r="I37" s="1345"/>
      <c r="J37" s="1345"/>
      <c r="K37" s="1345"/>
      <c r="L37" s="441"/>
      <c r="M37" s="1307" t="s">
        <v>673</v>
      </c>
      <c r="N37" s="1307"/>
      <c r="O37" s="1307"/>
      <c r="P37" s="1307"/>
      <c r="Q37" s="458"/>
      <c r="R37" s="1173"/>
      <c r="S37" s="1173"/>
      <c r="T37" s="1173"/>
      <c r="U37" s="1173"/>
      <c r="V37" s="434"/>
      <c r="W37" s="1343"/>
      <c r="X37" s="1343"/>
      <c r="Y37" s="1343"/>
      <c r="Z37" s="1343"/>
      <c r="AA37" s="434"/>
      <c r="AB37" s="1173"/>
      <c r="AC37" s="1173"/>
      <c r="AD37" s="1173"/>
      <c r="AE37" s="1173"/>
      <c r="AF37" s="434"/>
      <c r="AG37" s="1173"/>
      <c r="AH37" s="1173"/>
      <c r="AI37" s="1173"/>
      <c r="AJ37" s="1173"/>
      <c r="AK37" s="434"/>
      <c r="AL37" s="1173"/>
      <c r="AM37" s="1173"/>
      <c r="AN37" s="1173"/>
      <c r="AO37" s="1173"/>
      <c r="AP37" s="434"/>
      <c r="AQ37" s="1462"/>
      <c r="AR37" s="1463"/>
      <c r="AS37" s="1463"/>
      <c r="AT37" s="1463"/>
      <c r="AU37" s="1463"/>
      <c r="AV37" s="1463"/>
      <c r="AW37" s="1463"/>
      <c r="AX37" s="1463"/>
      <c r="AY37" s="1463"/>
      <c r="AZ37" s="1463"/>
      <c r="BA37" s="1463"/>
      <c r="BB37" s="1463"/>
      <c r="BC37" s="1463"/>
      <c r="BD37" s="1463"/>
      <c r="BE37" s="1464"/>
      <c r="BF37" s="1370">
        <f ca="1">INDIRECT(ADDRESS(ROW(BF37),111+$BF$28))</f>
        <v>4</v>
      </c>
      <c r="BG37" s="1228" t="str">
        <f>IF(BF37=60,"",INDEX('技能'!$B$12:$B$70,BF37))</f>
        <v>Climb</v>
      </c>
      <c r="BH37" s="1228"/>
      <c r="BI37" s="1228"/>
      <c r="BJ37" s="1228"/>
      <c r="BK37" s="1228"/>
      <c r="BL37" s="1228"/>
      <c r="BM37" s="1228"/>
      <c r="BN37" s="1228"/>
      <c r="BO37" s="1228"/>
      <c r="BP37" s="1228"/>
      <c r="BQ37" s="1228"/>
      <c r="BR37" s="1228"/>
      <c r="BS37" s="1228"/>
      <c r="BT37" s="1228"/>
      <c r="BU37" s="1228"/>
      <c r="BV37" s="1228"/>
      <c r="BW37" s="1228"/>
      <c r="BX37" s="1228"/>
      <c r="BY37" s="1228"/>
      <c r="BZ37" s="1230" t="str">
        <f>IF(BF37=60,"",INDEX('技能'!$D$12:$D$70,BF37))</f>
        <v>STR</v>
      </c>
      <c r="CA37" s="1230"/>
      <c r="CB37" s="1230"/>
      <c r="CC37" s="431">
        <f>IF(BF37=60,"",IF(INDEX('技能'!$P$12:$P$70,BF37)=0,"*",""))</f>
      </c>
      <c r="CD37" s="1202">
        <f>IF(BF37=60,"",IF(BZ37="なし","-",INDEX('技能'!$E$12:$E$70,BF37)))</f>
        <v>16</v>
      </c>
      <c r="CE37" s="1202"/>
      <c r="CF37" s="1202"/>
      <c r="CG37" s="1202"/>
      <c r="CH37" s="1204" t="s">
        <v>213</v>
      </c>
      <c r="CI37" s="1200">
        <f>IF(BF37=60,"",IF(BZ37="なし","-",INDEX('技能'!$F$12:$F$70,BF37)))</f>
        <v>7</v>
      </c>
      <c r="CJ37" s="1200"/>
      <c r="CK37" s="1200"/>
      <c r="CL37" s="1204" t="s">
        <v>214</v>
      </c>
      <c r="CM37" s="1218" t="str">
        <f>IF(BF37=60,"",IF(INDEX('技能'!$G$12:$G$70,BF37)&lt;&gt;0,INDEX('技能'!$O$12:$O$70,BF37)&amp;"#",INDEX('技能'!$O$12:$O$70,BF37)))</f>
        <v>11#</v>
      </c>
      <c r="CN37" s="1218"/>
      <c r="CO37" s="1218"/>
      <c r="CP37" s="1204"/>
      <c r="CQ37" s="1205" t="str">
        <f>IF(BF37=60,"",IF(LEN(CX38)&lt;=14,CX38,CONCATENATE(IF(SUM(CX37:DD37)&gt;=0,"+",""),SUM(CX37:DD37),"(Total)")))</f>
        <v>-5ACP</v>
      </c>
      <c r="CR37" s="1205"/>
      <c r="CS37" s="1205"/>
      <c r="CT37" s="1205"/>
      <c r="CU37" s="1205"/>
      <c r="CV37" s="1205"/>
      <c r="CW37" s="1205"/>
      <c r="CX37" s="186">
        <f>INDEX('技能'!$J$12:$J$71,' 印刷'!BF37)</f>
        <v>0</v>
      </c>
      <c r="CY37" s="186">
        <f>INDEX('技能'!$K$12:$K$71,BF37)</f>
        <v>0</v>
      </c>
      <c r="CZ37" s="186">
        <f>INDEX('技能'!$L$12:$L$71,BF37)</f>
        <v>0</v>
      </c>
      <c r="DA37" s="186">
        <f>INDEX('技能'!$M$12:$M$71,BF37)</f>
        <v>0</v>
      </c>
      <c r="DB37" s="186">
        <f>INDEX('技能'!$I$12:$I$71,BF37)</f>
        <v>0</v>
      </c>
      <c r="DC37" s="186">
        <f>INDEX('技能'!$H$12:$H$71,BF37)</f>
        <v>0</v>
      </c>
      <c r="DD37" s="186">
        <f>INDEX('技能'!$G$12:$G$71,BF37)</f>
        <v>1</v>
      </c>
      <c r="DE37" s="186">
        <f>INDEX('技能'!$P$12:$P$71,BF37)</f>
        <v>-5</v>
      </c>
      <c r="DF37" s="351" t="str">
        <f>INDEX('技能'!$N$12:$N$71,BF37)</f>
        <v>Yes</v>
      </c>
      <c r="DG37" s="192"/>
      <c r="DH37" s="1197">
        <v>4</v>
      </c>
      <c r="DI37" s="1194">
        <v>2</v>
      </c>
      <c r="DJ37" s="1688"/>
      <c r="DK37" s="1688"/>
    </row>
    <row r="38" spans="1:115" ht="10.5" customHeight="1" thickTop="1">
      <c r="A38" s="1159" t="s">
        <v>852</v>
      </c>
      <c r="B38" s="1159"/>
      <c r="C38" s="1159"/>
      <c r="D38" s="1159"/>
      <c r="E38" s="1159"/>
      <c r="F38" s="1159"/>
      <c r="G38" s="1159"/>
      <c r="H38" s="1159"/>
      <c r="I38" s="1159"/>
      <c r="J38" s="1159"/>
      <c r="K38" s="1159"/>
      <c r="L38" s="176"/>
      <c r="M38" s="1174">
        <f>'能力'!Q32</f>
        <v>13</v>
      </c>
      <c r="N38" s="1175"/>
      <c r="O38" s="1175"/>
      <c r="P38" s="1176"/>
      <c r="Q38" s="434"/>
      <c r="R38" s="1183">
        <f>'能力'!W32</f>
        <v>7</v>
      </c>
      <c r="S38" s="1184"/>
      <c r="T38" s="1184"/>
      <c r="U38" s="1185"/>
      <c r="V38" s="456"/>
      <c r="W38" s="1308">
        <f>M21</f>
        <v>3</v>
      </c>
      <c r="X38" s="1309"/>
      <c r="Y38" s="1309"/>
      <c r="Z38" s="1310"/>
      <c r="AA38" s="456"/>
      <c r="AB38" s="1272">
        <f>IF('能力'!Q34=0,"",'能力'!Q34)</f>
      </c>
      <c r="AC38" s="1273"/>
      <c r="AD38" s="1273"/>
      <c r="AE38" s="1274"/>
      <c r="AF38" s="459"/>
      <c r="AG38" s="1272">
        <f>IF(SUM('能力'!Q35:Q37)=0,"",SUM('能力'!Q35:Q37))</f>
        <v>3</v>
      </c>
      <c r="AH38" s="1273"/>
      <c r="AI38" s="1273"/>
      <c r="AJ38" s="1274"/>
      <c r="AK38" s="434"/>
      <c r="AL38" s="1263"/>
      <c r="AM38" s="1264"/>
      <c r="AN38" s="1264"/>
      <c r="AO38" s="1265"/>
      <c r="AP38" s="434"/>
      <c r="AQ38" s="1449"/>
      <c r="AR38" s="1450"/>
      <c r="AS38" s="1450"/>
      <c r="AT38" s="1450"/>
      <c r="AU38" s="1450"/>
      <c r="AV38" s="1450"/>
      <c r="AW38" s="1450"/>
      <c r="AX38" s="1450"/>
      <c r="AY38" s="1450"/>
      <c r="AZ38" s="1450"/>
      <c r="BA38" s="1450"/>
      <c r="BB38" s="1450"/>
      <c r="BC38" s="1450"/>
      <c r="BD38" s="1450"/>
      <c r="BE38" s="1451"/>
      <c r="BF38" s="1370"/>
      <c r="BG38" s="1229"/>
      <c r="BH38" s="1229"/>
      <c r="BI38" s="1229"/>
      <c r="BJ38" s="1229"/>
      <c r="BK38" s="1229"/>
      <c r="BL38" s="1229"/>
      <c r="BM38" s="1229"/>
      <c r="BN38" s="1229"/>
      <c r="BO38" s="1229"/>
      <c r="BP38" s="1229"/>
      <c r="BQ38" s="1229"/>
      <c r="BR38" s="1229"/>
      <c r="BS38" s="1229"/>
      <c r="BT38" s="1229"/>
      <c r="BU38" s="1229"/>
      <c r="BV38" s="1229"/>
      <c r="BW38" s="1229"/>
      <c r="BX38" s="1229"/>
      <c r="BY38" s="1229"/>
      <c r="BZ38" s="1231"/>
      <c r="CA38" s="1231"/>
      <c r="CB38" s="1231"/>
      <c r="CC38" s="431"/>
      <c r="CD38" s="1203"/>
      <c r="CE38" s="1203"/>
      <c r="CF38" s="1203"/>
      <c r="CG38" s="1203"/>
      <c r="CH38" s="1204"/>
      <c r="CI38" s="1201"/>
      <c r="CJ38" s="1201"/>
      <c r="CK38" s="1201"/>
      <c r="CL38" s="1204"/>
      <c r="CM38" s="1219"/>
      <c r="CN38" s="1219"/>
      <c r="CO38" s="1219"/>
      <c r="CP38" s="1204"/>
      <c r="CQ38" s="1206"/>
      <c r="CR38" s="1206"/>
      <c r="CS38" s="1206"/>
      <c r="CT38" s="1206"/>
      <c r="CU38" s="1206"/>
      <c r="CV38" s="1206"/>
      <c r="CW38" s="1206"/>
      <c r="CX38" s="186" t="str">
        <f>CONCATENATE(IF(CX37&lt;&gt;0,CONCATENATE(IF(CX37&gt;0,"+",""),CX37,"Env."),""),IF(CY37&lt;&gt;0,CONCATENATE(IF(CY37&gt;0,"+",""),CY37,"Misc"),""),IF(CZ37&lt;&gt;0,CONCATENATE(IF(CZ37&gt;0,"+",""),CZ37,"Size"),""),IF(DA37&lt;&gt;0,CONCATENATE(IF(DA37&gt;0,"+",""),DA37,"Race"),""),IF(DB37&lt;&gt;0,CONCATENATE(IF(DB37&gt;0,"+",""),DB37,"Cmp."),""),IF(DC37&lt;&gt;0,CONCATENATE(IF(DC37&gt;0,"+",""),DC37),""),IF(DE37="-","",IF(DE37=0,"",CONCATENATE(DE37,"ACP"))))</f>
        <v>-5ACP</v>
      </c>
      <c r="CY38" s="186"/>
      <c r="CZ38" s="186"/>
      <c r="DA38" s="186"/>
      <c r="DB38" s="186"/>
      <c r="DG38" s="192"/>
      <c r="DH38" s="1197"/>
      <c r="DI38" s="1194"/>
      <c r="DJ38" s="1688"/>
      <c r="DK38" s="1688"/>
    </row>
    <row r="39" spans="1:115" ht="10.5" customHeight="1">
      <c r="A39" s="1159"/>
      <c r="B39" s="1159"/>
      <c r="C39" s="1159"/>
      <c r="D39" s="1159"/>
      <c r="E39" s="1159"/>
      <c r="F39" s="1159"/>
      <c r="G39" s="1159"/>
      <c r="H39" s="1159"/>
      <c r="I39" s="1159"/>
      <c r="J39" s="1159"/>
      <c r="K39" s="1159"/>
      <c r="L39" s="176"/>
      <c r="M39" s="1177"/>
      <c r="N39" s="1178"/>
      <c r="O39" s="1178"/>
      <c r="P39" s="1179"/>
      <c r="Q39" s="460" t="s">
        <v>677</v>
      </c>
      <c r="R39" s="1186"/>
      <c r="S39" s="1187"/>
      <c r="T39" s="1187"/>
      <c r="U39" s="1188"/>
      <c r="V39" s="455" t="s">
        <v>678</v>
      </c>
      <c r="W39" s="1311"/>
      <c r="X39" s="1202"/>
      <c r="Y39" s="1202"/>
      <c r="Z39" s="1312"/>
      <c r="AA39" s="455" t="s">
        <v>678</v>
      </c>
      <c r="AB39" s="1275"/>
      <c r="AC39" s="1276"/>
      <c r="AD39" s="1276"/>
      <c r="AE39" s="1277"/>
      <c r="AF39" s="432" t="s">
        <v>678</v>
      </c>
      <c r="AG39" s="1275"/>
      <c r="AH39" s="1276"/>
      <c r="AI39" s="1276"/>
      <c r="AJ39" s="1277"/>
      <c r="AK39" s="455" t="s">
        <v>678</v>
      </c>
      <c r="AL39" s="1266"/>
      <c r="AM39" s="1267"/>
      <c r="AN39" s="1267"/>
      <c r="AO39" s="1268"/>
      <c r="AP39" s="434"/>
      <c r="AQ39" s="1449"/>
      <c r="AR39" s="1450"/>
      <c r="AS39" s="1450"/>
      <c r="AT39" s="1450"/>
      <c r="AU39" s="1450"/>
      <c r="AV39" s="1450"/>
      <c r="AW39" s="1450"/>
      <c r="AX39" s="1450"/>
      <c r="AY39" s="1450"/>
      <c r="AZ39" s="1450"/>
      <c r="BA39" s="1450"/>
      <c r="BB39" s="1450"/>
      <c r="BC39" s="1450"/>
      <c r="BD39" s="1450"/>
      <c r="BE39" s="1451"/>
      <c r="BF39" s="1370">
        <f ca="1">INDIRECT(ADDRESS(ROW(BF39),111+$BF$28))</f>
        <v>5</v>
      </c>
      <c r="BG39" s="1228" t="str">
        <f>IF(BF39=60,"",INDEX('技能'!$B$12:$B$70,BF39))</f>
        <v>Craft: </v>
      </c>
      <c r="BH39" s="1228"/>
      <c r="BI39" s="1228"/>
      <c r="BJ39" s="1228"/>
      <c r="BK39" s="1228"/>
      <c r="BL39" s="1228"/>
      <c r="BM39" s="1228"/>
      <c r="BN39" s="1228"/>
      <c r="BO39" s="1228"/>
      <c r="BP39" s="1228"/>
      <c r="BQ39" s="1228"/>
      <c r="BR39" s="1228"/>
      <c r="BS39" s="1228"/>
      <c r="BT39" s="1228"/>
      <c r="BU39" s="1228"/>
      <c r="BV39" s="1228"/>
      <c r="BW39" s="1228"/>
      <c r="BX39" s="1228"/>
      <c r="BY39" s="1228"/>
      <c r="BZ39" s="1230" t="str">
        <f>IF(BF39=60,"",INDEX('技能'!$D$12:$D$70,BF39))</f>
        <v>INT</v>
      </c>
      <c r="CA39" s="1230"/>
      <c r="CB39" s="1230"/>
      <c r="CC39" s="431">
        <f>IF(BF39=60,"",IF(INDEX('技能'!$P$12:$P$70,BF39)=0,"*",""))</f>
      </c>
      <c r="CD39" s="1202">
        <f>IF(BF39=60,"",IF(BZ39="なし","-",INDEX('技能'!$E$12:$E$70,BF39)))</f>
        <v>0</v>
      </c>
      <c r="CE39" s="1202"/>
      <c r="CF39" s="1202"/>
      <c r="CG39" s="1202"/>
      <c r="CH39" s="1204" t="s">
        <v>213</v>
      </c>
      <c r="CI39" s="1200">
        <f>IF(BF39=60,"",IF(BZ39="なし","-",INDEX('技能'!$F$12:$F$70,BF39)))</f>
        <v>0</v>
      </c>
      <c r="CJ39" s="1200"/>
      <c r="CK39" s="1200"/>
      <c r="CL39" s="1204" t="s">
        <v>214</v>
      </c>
      <c r="CM39" s="1218">
        <f>IF(BF39=60,"",IF(INDEX('技能'!$G$12:$G$70,BF39)&lt;&gt;0,INDEX('技能'!$O$12:$O$70,BF39)&amp;"#",INDEX('技能'!$O$12:$O$70,BF39)))</f>
        <v>0</v>
      </c>
      <c r="CN39" s="1218"/>
      <c r="CO39" s="1218"/>
      <c r="CP39" s="1204"/>
      <c r="CQ39" s="1205">
        <f>IF(BF39=60,"",IF(LEN(CX40)&lt;=14,CX40,CONCATENATE(IF(SUM(CX39:DD39)&gt;=0,"+",""),SUM(CX39:DD39),"(Total)")))</f>
      </c>
      <c r="CR39" s="1205"/>
      <c r="CS39" s="1205"/>
      <c r="CT39" s="1205"/>
      <c r="CU39" s="1205"/>
      <c r="CV39" s="1205"/>
      <c r="CW39" s="1205"/>
      <c r="CX39" s="186">
        <f>INDEX('技能'!$J$12:$J$71,' 印刷'!BF39)</f>
        <v>0</v>
      </c>
      <c r="CY39" s="186">
        <f>INDEX('技能'!$K$12:$K$71,BF39)</f>
        <v>0</v>
      </c>
      <c r="CZ39" s="186">
        <f>INDEX('技能'!$L$12:$L$71,BF39)</f>
        <v>0</v>
      </c>
      <c r="DA39" s="186">
        <f>INDEX('技能'!$M$12:$M$71,BF39)</f>
        <v>0</v>
      </c>
      <c r="DB39" s="186">
        <f>INDEX('技能'!$I$12:$I$71,BF39)</f>
        <v>0</v>
      </c>
      <c r="DC39" s="186">
        <f>INDEX('技能'!$H$12:$H$71,BF39)</f>
        <v>0</v>
      </c>
      <c r="DD39" s="186">
        <f>INDEX('技能'!$G$12:$G$71,BF39)</f>
        <v>0</v>
      </c>
      <c r="DE39" s="186" t="str">
        <f>INDEX('技能'!$P$12:$P$71,BF39)</f>
        <v>-</v>
      </c>
      <c r="DF39" s="351" t="str">
        <f>INDEX('技能'!$N$12:$N$71,BF39)</f>
        <v>Yes</v>
      </c>
      <c r="DG39" s="192"/>
      <c r="DH39" s="1197">
        <v>5</v>
      </c>
      <c r="DI39" s="1194">
        <v>5</v>
      </c>
      <c r="DJ39" s="1688"/>
      <c r="DK39" s="1688"/>
    </row>
    <row r="40" spans="1:115" ht="10.5" customHeight="1" thickBot="1">
      <c r="A40" s="1160"/>
      <c r="B40" s="1160"/>
      <c r="C40" s="1160"/>
      <c r="D40" s="1160"/>
      <c r="E40" s="1160"/>
      <c r="F40" s="1160"/>
      <c r="G40" s="1160"/>
      <c r="H40" s="1160"/>
      <c r="I40" s="1160"/>
      <c r="J40" s="1160"/>
      <c r="K40" s="1160"/>
      <c r="L40" s="176"/>
      <c r="M40" s="1180"/>
      <c r="N40" s="1181"/>
      <c r="O40" s="1181"/>
      <c r="P40" s="1182"/>
      <c r="Q40" s="434"/>
      <c r="R40" s="1189"/>
      <c r="S40" s="1190"/>
      <c r="T40" s="1190"/>
      <c r="U40" s="1191"/>
      <c r="V40" s="434"/>
      <c r="W40" s="1313"/>
      <c r="X40" s="1314"/>
      <c r="Y40" s="1314"/>
      <c r="Z40" s="1315"/>
      <c r="AA40" s="434"/>
      <c r="AB40" s="1278"/>
      <c r="AC40" s="1279"/>
      <c r="AD40" s="1279"/>
      <c r="AE40" s="1280"/>
      <c r="AF40" s="435"/>
      <c r="AG40" s="1278"/>
      <c r="AH40" s="1279"/>
      <c r="AI40" s="1279"/>
      <c r="AJ40" s="1280"/>
      <c r="AK40" s="434"/>
      <c r="AL40" s="1269"/>
      <c r="AM40" s="1270"/>
      <c r="AN40" s="1270"/>
      <c r="AO40" s="1271"/>
      <c r="AP40" s="434"/>
      <c r="AQ40" s="1449"/>
      <c r="AR40" s="1450"/>
      <c r="AS40" s="1450"/>
      <c r="AT40" s="1450"/>
      <c r="AU40" s="1450"/>
      <c r="AV40" s="1450"/>
      <c r="AW40" s="1450"/>
      <c r="AX40" s="1450"/>
      <c r="AY40" s="1450"/>
      <c r="AZ40" s="1450"/>
      <c r="BA40" s="1450"/>
      <c r="BB40" s="1450"/>
      <c r="BC40" s="1450"/>
      <c r="BD40" s="1450"/>
      <c r="BE40" s="1451"/>
      <c r="BF40" s="1370"/>
      <c r="BG40" s="1229"/>
      <c r="BH40" s="1229"/>
      <c r="BI40" s="1229"/>
      <c r="BJ40" s="1229"/>
      <c r="BK40" s="1229"/>
      <c r="BL40" s="1229"/>
      <c r="BM40" s="1229"/>
      <c r="BN40" s="1229"/>
      <c r="BO40" s="1229"/>
      <c r="BP40" s="1229"/>
      <c r="BQ40" s="1229"/>
      <c r="BR40" s="1229"/>
      <c r="BS40" s="1229"/>
      <c r="BT40" s="1229"/>
      <c r="BU40" s="1229"/>
      <c r="BV40" s="1229"/>
      <c r="BW40" s="1229"/>
      <c r="BX40" s="1229"/>
      <c r="BY40" s="1229"/>
      <c r="BZ40" s="1231"/>
      <c r="CA40" s="1231"/>
      <c r="CB40" s="1231"/>
      <c r="CC40" s="431"/>
      <c r="CD40" s="1203"/>
      <c r="CE40" s="1203"/>
      <c r="CF40" s="1203"/>
      <c r="CG40" s="1203"/>
      <c r="CH40" s="1204"/>
      <c r="CI40" s="1201"/>
      <c r="CJ40" s="1201"/>
      <c r="CK40" s="1201"/>
      <c r="CL40" s="1204"/>
      <c r="CM40" s="1219"/>
      <c r="CN40" s="1219"/>
      <c r="CO40" s="1219"/>
      <c r="CP40" s="1204"/>
      <c r="CQ40" s="1206"/>
      <c r="CR40" s="1206"/>
      <c r="CS40" s="1206"/>
      <c r="CT40" s="1206"/>
      <c r="CU40" s="1206"/>
      <c r="CV40" s="1206"/>
      <c r="CW40" s="1206"/>
      <c r="CX40" s="186">
        <f>CONCATENATE(IF(CX39&lt;&gt;0,CONCATENATE(IF(CX39&gt;0,"+",""),CX39,"Env."),""),IF(CY39&lt;&gt;0,CONCATENATE(IF(CY39&gt;0,"+",""),CY39,"Misc"),""),IF(CZ39&lt;&gt;0,CONCATENATE(IF(CZ39&gt;0,"+",""),CZ39,"Size"),""),IF(DA39&lt;&gt;0,CONCATENATE(IF(DA39&gt;0,"+",""),DA39,"Race"),""),IF(DB39&lt;&gt;0,CONCATENATE(IF(DB39&gt;0,"+",""),DB39,"Cmp."),""),IF(DC39&lt;&gt;0,CONCATENATE(IF(DC39&gt;0,"+",""),DC39),""),IF(DE39="-","",IF(DE39=0,"",CONCATENATE(DE39,"ACP"))))</f>
      </c>
      <c r="CY40" s="186"/>
      <c r="CZ40" s="186"/>
      <c r="DA40" s="186"/>
      <c r="DB40" s="186"/>
      <c r="DG40" s="192"/>
      <c r="DH40" s="1197"/>
      <c r="DI40" s="1194"/>
      <c r="DJ40" s="1688"/>
      <c r="DK40" s="1688"/>
    </row>
    <row r="41" spans="1:115" ht="10.5" customHeight="1" thickBot="1">
      <c r="A41" s="190"/>
      <c r="B41" s="190"/>
      <c r="C41" s="190"/>
      <c r="D41" s="190"/>
      <c r="E41" s="190"/>
      <c r="F41" s="190"/>
      <c r="G41" s="190"/>
      <c r="H41" s="190"/>
      <c r="I41" s="190"/>
      <c r="J41" s="190"/>
      <c r="K41" s="190"/>
      <c r="L41" s="176"/>
      <c r="M41" s="436"/>
      <c r="N41" s="436"/>
      <c r="O41" s="436"/>
      <c r="P41" s="436"/>
      <c r="Q41" s="434"/>
      <c r="R41" s="456"/>
      <c r="S41" s="456"/>
      <c r="T41" s="456"/>
      <c r="U41" s="456"/>
      <c r="V41" s="434"/>
      <c r="W41" s="456"/>
      <c r="X41" s="456"/>
      <c r="Y41" s="456"/>
      <c r="Z41" s="456"/>
      <c r="AA41" s="434"/>
      <c r="AB41" s="459"/>
      <c r="AC41" s="459"/>
      <c r="AD41" s="459"/>
      <c r="AE41" s="459"/>
      <c r="AF41" s="435"/>
      <c r="AG41" s="459"/>
      <c r="AH41" s="459"/>
      <c r="AI41" s="459"/>
      <c r="AJ41" s="461"/>
      <c r="AK41" s="434"/>
      <c r="AL41" s="434"/>
      <c r="AM41" s="434"/>
      <c r="AN41" s="434"/>
      <c r="AO41" s="434"/>
      <c r="AP41" s="434"/>
      <c r="AQ41" s="1449"/>
      <c r="AR41" s="1450"/>
      <c r="AS41" s="1450"/>
      <c r="AT41" s="1450"/>
      <c r="AU41" s="1450"/>
      <c r="AV41" s="1450"/>
      <c r="AW41" s="1450"/>
      <c r="AX41" s="1450"/>
      <c r="AY41" s="1450"/>
      <c r="AZ41" s="1450"/>
      <c r="BA41" s="1450"/>
      <c r="BB41" s="1450"/>
      <c r="BC41" s="1450"/>
      <c r="BD41" s="1450"/>
      <c r="BE41" s="1451"/>
      <c r="BF41" s="1370">
        <f ca="1">INDIRECT(ADDRESS(ROW(BF41),111+$BF$28))</f>
        <v>6</v>
      </c>
      <c r="BG41" s="1228" t="str">
        <f>IF(BF41=60,"",INDEX('技能'!$B$12:$B$70,BF41))</f>
        <v>Craft: </v>
      </c>
      <c r="BH41" s="1228"/>
      <c r="BI41" s="1228"/>
      <c r="BJ41" s="1228"/>
      <c r="BK41" s="1228"/>
      <c r="BL41" s="1228"/>
      <c r="BM41" s="1228"/>
      <c r="BN41" s="1228"/>
      <c r="BO41" s="1228"/>
      <c r="BP41" s="1228"/>
      <c r="BQ41" s="1228"/>
      <c r="BR41" s="1228"/>
      <c r="BS41" s="1228"/>
      <c r="BT41" s="1228"/>
      <c r="BU41" s="1228"/>
      <c r="BV41" s="1228"/>
      <c r="BW41" s="1228"/>
      <c r="BX41" s="1228"/>
      <c r="BY41" s="1228"/>
      <c r="BZ41" s="1230" t="str">
        <f>IF(BF41=60,"",INDEX('技能'!$D$12:$D$70,BF41))</f>
        <v>INT</v>
      </c>
      <c r="CA41" s="1230"/>
      <c r="CB41" s="1230"/>
      <c r="CC41" s="431">
        <f>IF(BF41=60,"",IF(INDEX('技能'!$P$12:$P$70,BF41)=0,"*",""))</f>
      </c>
      <c r="CD41" s="1202">
        <f>IF(BF41=60,"",IF(BZ41="なし","-",INDEX('技能'!$E$12:$E$70,BF41)))</f>
        <v>0</v>
      </c>
      <c r="CE41" s="1202"/>
      <c r="CF41" s="1202"/>
      <c r="CG41" s="1202"/>
      <c r="CH41" s="1204" t="s">
        <v>213</v>
      </c>
      <c r="CI41" s="1200">
        <f>IF(BF41=60,"",IF(BZ41="なし","-",INDEX('技能'!$F$12:$F$70,BF41)))</f>
        <v>0</v>
      </c>
      <c r="CJ41" s="1200"/>
      <c r="CK41" s="1200"/>
      <c r="CL41" s="1204" t="s">
        <v>214</v>
      </c>
      <c r="CM41" s="1218">
        <f>IF(BF41=60,"",IF(INDEX('技能'!$G$12:$G$70,BF41)&lt;&gt;0,INDEX('技能'!$O$12:$O$70,BF41)&amp;"#",INDEX('技能'!$O$12:$O$70,BF41)))</f>
        <v>0</v>
      </c>
      <c r="CN41" s="1218"/>
      <c r="CO41" s="1218"/>
      <c r="CP41" s="1204"/>
      <c r="CQ41" s="1205">
        <f>IF(BF41=60,"",IF(LEN(CX42)&lt;=14,CX42,CONCATENATE(IF(SUM(CX41:DD41)&gt;=0,"+",""),SUM(CX41:DD41),"(Total)")))</f>
      </c>
      <c r="CR41" s="1205"/>
      <c r="CS41" s="1205"/>
      <c r="CT41" s="1205"/>
      <c r="CU41" s="1205"/>
      <c r="CV41" s="1205"/>
      <c r="CW41" s="1205"/>
      <c r="CX41" s="186">
        <f>INDEX('技能'!$J$12:$J$71,' 印刷'!BF41)</f>
        <v>0</v>
      </c>
      <c r="CY41" s="186">
        <f>INDEX('技能'!$K$12:$K$71,BF41)</f>
        <v>0</v>
      </c>
      <c r="CZ41" s="186">
        <f>INDEX('技能'!$L$12:$L$71,BF41)</f>
        <v>0</v>
      </c>
      <c r="DA41" s="186">
        <f>INDEX('技能'!$M$12:$M$71,BF41)</f>
        <v>0</v>
      </c>
      <c r="DB41" s="186">
        <f>INDEX('技能'!$I$12:$I$71,BF41)</f>
        <v>0</v>
      </c>
      <c r="DC41" s="186">
        <f>INDEX('技能'!$H$12:$H$71,BF41)</f>
        <v>0</v>
      </c>
      <c r="DD41" s="186">
        <f>INDEX('技能'!$G$12:$G$71,BF41)</f>
        <v>0</v>
      </c>
      <c r="DE41" s="186" t="str">
        <f>INDEX('技能'!$P$12:$P$71,BF41)</f>
        <v>-</v>
      </c>
      <c r="DF41" s="351" t="str">
        <f>INDEX('技能'!$N$12:$N$71,BF41)</f>
        <v>Yes</v>
      </c>
      <c r="DG41" s="192"/>
      <c r="DH41" s="1197">
        <v>6</v>
      </c>
      <c r="DI41" s="1194">
        <v>6</v>
      </c>
      <c r="DJ41" s="1688"/>
      <c r="DK41" s="1688"/>
    </row>
    <row r="42" spans="1:115" ht="10.5" customHeight="1" thickTop="1">
      <c r="A42" s="1159" t="s">
        <v>851</v>
      </c>
      <c r="B42" s="1159"/>
      <c r="C42" s="1159"/>
      <c r="D42" s="1159"/>
      <c r="E42" s="1159"/>
      <c r="F42" s="1159"/>
      <c r="G42" s="1159"/>
      <c r="H42" s="1159"/>
      <c r="I42" s="1159"/>
      <c r="J42" s="1159"/>
      <c r="K42" s="1159"/>
      <c r="L42" s="176"/>
      <c r="M42" s="1174">
        <f>'能力'!S32</f>
        <v>6</v>
      </c>
      <c r="N42" s="1175"/>
      <c r="O42" s="1175"/>
      <c r="P42" s="1176"/>
      <c r="Q42" s="434"/>
      <c r="R42" s="1183">
        <f>'能力'!Y32</f>
        <v>3</v>
      </c>
      <c r="S42" s="1184"/>
      <c r="T42" s="1184"/>
      <c r="U42" s="1185"/>
      <c r="V42" s="434"/>
      <c r="W42" s="1308">
        <f>M17</f>
        <v>0</v>
      </c>
      <c r="X42" s="1309"/>
      <c r="Y42" s="1309"/>
      <c r="Z42" s="1310"/>
      <c r="AA42" s="434"/>
      <c r="AB42" s="1272">
        <f>IF('能力'!S34=0,"",'能力'!S34)</f>
      </c>
      <c r="AC42" s="1273"/>
      <c r="AD42" s="1273"/>
      <c r="AE42" s="1274"/>
      <c r="AF42" s="435"/>
      <c r="AG42" s="1272">
        <f>IF(SUM('能力'!S35:S37)=0,"",SUM('能力'!S35:S37))</f>
        <v>3</v>
      </c>
      <c r="AH42" s="1273"/>
      <c r="AI42" s="1273"/>
      <c r="AJ42" s="1274"/>
      <c r="AK42" s="434"/>
      <c r="AL42" s="1263"/>
      <c r="AM42" s="1264"/>
      <c r="AN42" s="1264"/>
      <c r="AO42" s="1265"/>
      <c r="AP42" s="434"/>
      <c r="AQ42" s="1449"/>
      <c r="AR42" s="1450"/>
      <c r="AS42" s="1450"/>
      <c r="AT42" s="1450"/>
      <c r="AU42" s="1450"/>
      <c r="AV42" s="1450"/>
      <c r="AW42" s="1450"/>
      <c r="AX42" s="1450"/>
      <c r="AY42" s="1450"/>
      <c r="AZ42" s="1450"/>
      <c r="BA42" s="1450"/>
      <c r="BB42" s="1450"/>
      <c r="BC42" s="1450"/>
      <c r="BD42" s="1450"/>
      <c r="BE42" s="1451"/>
      <c r="BF42" s="1370"/>
      <c r="BG42" s="1229"/>
      <c r="BH42" s="1229"/>
      <c r="BI42" s="1229"/>
      <c r="BJ42" s="1229"/>
      <c r="BK42" s="1229"/>
      <c r="BL42" s="1229"/>
      <c r="BM42" s="1229"/>
      <c r="BN42" s="1229"/>
      <c r="BO42" s="1229"/>
      <c r="BP42" s="1229"/>
      <c r="BQ42" s="1229"/>
      <c r="BR42" s="1229"/>
      <c r="BS42" s="1229"/>
      <c r="BT42" s="1229"/>
      <c r="BU42" s="1229"/>
      <c r="BV42" s="1229"/>
      <c r="BW42" s="1229"/>
      <c r="BX42" s="1229"/>
      <c r="BY42" s="1229"/>
      <c r="BZ42" s="1231"/>
      <c r="CA42" s="1231"/>
      <c r="CB42" s="1231"/>
      <c r="CC42" s="431"/>
      <c r="CD42" s="1203"/>
      <c r="CE42" s="1203"/>
      <c r="CF42" s="1203"/>
      <c r="CG42" s="1203"/>
      <c r="CH42" s="1204"/>
      <c r="CI42" s="1201"/>
      <c r="CJ42" s="1201"/>
      <c r="CK42" s="1201"/>
      <c r="CL42" s="1204"/>
      <c r="CM42" s="1219"/>
      <c r="CN42" s="1219"/>
      <c r="CO42" s="1219"/>
      <c r="CP42" s="1204"/>
      <c r="CQ42" s="1206"/>
      <c r="CR42" s="1206"/>
      <c r="CS42" s="1206"/>
      <c r="CT42" s="1206"/>
      <c r="CU42" s="1206"/>
      <c r="CV42" s="1206"/>
      <c r="CW42" s="1206"/>
      <c r="CX42" s="186">
        <f>CONCATENATE(IF(CX41&lt;&gt;0,CONCATENATE(IF(CX41&gt;0,"+",""),CX41,"Env."),""),IF(CY41&lt;&gt;0,CONCATENATE(IF(CY41&gt;0,"+",""),CY41,"Misc"),""),IF(CZ41&lt;&gt;0,CONCATENATE(IF(CZ41&gt;0,"+",""),CZ41,"Size"),""),IF(DA41&lt;&gt;0,CONCATENATE(IF(DA41&gt;0,"+",""),DA41,"Race"),""),IF(DB41&lt;&gt;0,CONCATENATE(IF(DB41&gt;0,"+",""),DB41,"Cmp."),""),IF(DC41&lt;&gt;0,CONCATENATE(IF(DC41&gt;0,"+",""),DC41),""),IF(DE41="-","",IF(DE41=0,"",CONCATENATE(DE41,"ACP"))))</f>
      </c>
      <c r="CY42" s="186"/>
      <c r="CZ42" s="186"/>
      <c r="DA42" s="186"/>
      <c r="DB42" s="186"/>
      <c r="DG42" s="192"/>
      <c r="DH42" s="1197"/>
      <c r="DI42" s="1194"/>
      <c r="DJ42" s="1688"/>
      <c r="DK42" s="1688"/>
    </row>
    <row r="43" spans="1:115" ht="10.5" customHeight="1">
      <c r="A43" s="1159"/>
      <c r="B43" s="1159"/>
      <c r="C43" s="1159"/>
      <c r="D43" s="1159"/>
      <c r="E43" s="1159"/>
      <c r="F43" s="1159"/>
      <c r="G43" s="1159"/>
      <c r="H43" s="1159"/>
      <c r="I43" s="1159"/>
      <c r="J43" s="1159"/>
      <c r="K43" s="1159"/>
      <c r="L43" s="176"/>
      <c r="M43" s="1177"/>
      <c r="N43" s="1178"/>
      <c r="O43" s="1178"/>
      <c r="P43" s="1179"/>
      <c r="Q43" s="460" t="s">
        <v>677</v>
      </c>
      <c r="R43" s="1186"/>
      <c r="S43" s="1187"/>
      <c r="T43" s="1187"/>
      <c r="U43" s="1188"/>
      <c r="V43" s="455" t="s">
        <v>678</v>
      </c>
      <c r="W43" s="1311"/>
      <c r="X43" s="1202"/>
      <c r="Y43" s="1202"/>
      <c r="Z43" s="1312"/>
      <c r="AA43" s="455" t="s">
        <v>678</v>
      </c>
      <c r="AB43" s="1275"/>
      <c r="AC43" s="1276"/>
      <c r="AD43" s="1276"/>
      <c r="AE43" s="1277"/>
      <c r="AF43" s="432" t="s">
        <v>678</v>
      </c>
      <c r="AG43" s="1275"/>
      <c r="AH43" s="1276"/>
      <c r="AI43" s="1276"/>
      <c r="AJ43" s="1277"/>
      <c r="AK43" s="455" t="s">
        <v>678</v>
      </c>
      <c r="AL43" s="1266"/>
      <c r="AM43" s="1267"/>
      <c r="AN43" s="1267"/>
      <c r="AO43" s="1268"/>
      <c r="AP43" s="434"/>
      <c r="AQ43" s="1449"/>
      <c r="AR43" s="1450"/>
      <c r="AS43" s="1450"/>
      <c r="AT43" s="1450"/>
      <c r="AU43" s="1450"/>
      <c r="AV43" s="1450"/>
      <c r="AW43" s="1450"/>
      <c r="AX43" s="1450"/>
      <c r="AY43" s="1450"/>
      <c r="AZ43" s="1450"/>
      <c r="BA43" s="1450"/>
      <c r="BB43" s="1450"/>
      <c r="BC43" s="1450"/>
      <c r="BD43" s="1450"/>
      <c r="BE43" s="1451"/>
      <c r="BF43" s="1370">
        <f ca="1">INDIRECT(ADDRESS(ROW(BF43),111+$BF$28))</f>
        <v>8</v>
      </c>
      <c r="BG43" s="1228" t="str">
        <f>IF(BF43=60,"",INDEX('技能'!$B$12:$B$70,BF43))</f>
        <v>Diplomacy</v>
      </c>
      <c r="BH43" s="1228"/>
      <c r="BI43" s="1228"/>
      <c r="BJ43" s="1228"/>
      <c r="BK43" s="1228"/>
      <c r="BL43" s="1228"/>
      <c r="BM43" s="1228"/>
      <c r="BN43" s="1228"/>
      <c r="BO43" s="1228"/>
      <c r="BP43" s="1228"/>
      <c r="BQ43" s="1228"/>
      <c r="BR43" s="1228"/>
      <c r="BS43" s="1228"/>
      <c r="BT43" s="1228"/>
      <c r="BU43" s="1228"/>
      <c r="BV43" s="1228"/>
      <c r="BW43" s="1228"/>
      <c r="BX43" s="1228"/>
      <c r="BY43" s="1228"/>
      <c r="BZ43" s="1230" t="str">
        <f>IF(BF43=60,"",INDEX('技能'!$D$12:$D$70,BF43))</f>
        <v>CHA</v>
      </c>
      <c r="CA43" s="1230"/>
      <c r="CB43" s="1230"/>
      <c r="CC43" s="431">
        <f>IF(BF43=60,"",IF(INDEX('技能'!$P$12:$P$70,BF43)=0,"*",""))</f>
      </c>
      <c r="CD43" s="1202">
        <f>IF(BF43=60,"",IF(BZ43="なし","-",INDEX('技能'!$E$12:$E$70,BF43)))</f>
        <v>0</v>
      </c>
      <c r="CE43" s="1202"/>
      <c r="CF43" s="1202"/>
      <c r="CG43" s="1202"/>
      <c r="CH43" s="1204" t="s">
        <v>213</v>
      </c>
      <c r="CI43" s="1200">
        <f>IF(BF43=60,"",IF(BZ43="なし","-",INDEX('技能'!$F$12:$F$70,BF43)))</f>
        <v>0</v>
      </c>
      <c r="CJ43" s="1200"/>
      <c r="CK43" s="1200"/>
      <c r="CL43" s="1204" t="s">
        <v>214</v>
      </c>
      <c r="CM43" s="1218">
        <f>IF(BF43=60,"",IF(INDEX('技能'!$G$12:$G$70,BF43)&lt;&gt;0,INDEX('技能'!$O$12:$O$70,BF43)&amp;"#",INDEX('技能'!$O$12:$O$70,BF43)))</f>
        <v>0</v>
      </c>
      <c r="CN43" s="1218"/>
      <c r="CO43" s="1218"/>
      <c r="CP43" s="1204"/>
      <c r="CQ43" s="1220">
        <f>IF(BF43=60,"",IF(LEN(CX44)&lt;=14,CX44,CONCATENATE(IF(SUM(CX43:DD43)&gt;=0,"+",""),SUM(CX43:DD43),"(Total)")))</f>
      </c>
      <c r="CR43" s="1221"/>
      <c r="CS43" s="1221"/>
      <c r="CT43" s="1221"/>
      <c r="CU43" s="1221"/>
      <c r="CV43" s="1221"/>
      <c r="CW43" s="1221"/>
      <c r="CX43" s="186">
        <f>INDEX('技能'!$J$12:$J$71,' 印刷'!BF43)</f>
        <v>0</v>
      </c>
      <c r="CY43" s="186">
        <f>INDEX('技能'!$K$12:$K$71,BF43)</f>
        <v>0</v>
      </c>
      <c r="CZ43" s="186">
        <f>INDEX('技能'!$L$12:$L$71,BF43)</f>
        <v>0</v>
      </c>
      <c r="DA43" s="186">
        <f>INDEX('技能'!$M$12:$M$71,BF43)</f>
        <v>0</v>
      </c>
      <c r="DB43" s="186">
        <f>INDEX('技能'!$I$12:$I$71,BF43)</f>
        <v>0</v>
      </c>
      <c r="DC43" s="186">
        <f>INDEX('技能'!$H$12:$H$71,BF43)</f>
        <v>0</v>
      </c>
      <c r="DD43" s="186">
        <f>INDEX('技能'!$G$12:$G$71,BF43)</f>
        <v>0</v>
      </c>
      <c r="DE43" s="186" t="str">
        <f>INDEX('技能'!$P$12:$P$71,BF43)</f>
        <v>-</v>
      </c>
      <c r="DF43" s="351" t="str">
        <f>INDEX('技能'!$N$12:$N$71,BF43)</f>
        <v>Yes</v>
      </c>
      <c r="DG43" s="192"/>
      <c r="DH43" s="1197">
        <v>8</v>
      </c>
      <c r="DI43" s="1194">
        <v>8</v>
      </c>
      <c r="DJ43" s="1688"/>
      <c r="DK43" s="1688"/>
    </row>
    <row r="44" spans="1:115" ht="10.5" customHeight="1" thickBot="1">
      <c r="A44" s="1161"/>
      <c r="B44" s="1161"/>
      <c r="C44" s="1161"/>
      <c r="D44" s="1161"/>
      <c r="E44" s="1161"/>
      <c r="F44" s="1161"/>
      <c r="G44" s="1161"/>
      <c r="H44" s="1161"/>
      <c r="I44" s="1161"/>
      <c r="J44" s="1161"/>
      <c r="K44" s="1161"/>
      <c r="L44" s="176"/>
      <c r="M44" s="1180"/>
      <c r="N44" s="1181"/>
      <c r="O44" s="1181"/>
      <c r="P44" s="1182"/>
      <c r="Q44" s="434"/>
      <c r="R44" s="1189"/>
      <c r="S44" s="1190"/>
      <c r="T44" s="1190"/>
      <c r="U44" s="1191"/>
      <c r="V44" s="434"/>
      <c r="W44" s="1313"/>
      <c r="X44" s="1314"/>
      <c r="Y44" s="1314"/>
      <c r="Z44" s="1315"/>
      <c r="AA44" s="434"/>
      <c r="AB44" s="1278"/>
      <c r="AC44" s="1279"/>
      <c r="AD44" s="1279"/>
      <c r="AE44" s="1280"/>
      <c r="AF44" s="435"/>
      <c r="AG44" s="1278"/>
      <c r="AH44" s="1279"/>
      <c r="AI44" s="1279"/>
      <c r="AJ44" s="1280"/>
      <c r="AK44" s="434"/>
      <c r="AL44" s="1269"/>
      <c r="AM44" s="1270"/>
      <c r="AN44" s="1270"/>
      <c r="AO44" s="1271"/>
      <c r="AP44" s="434"/>
      <c r="AQ44" s="1449"/>
      <c r="AR44" s="1450"/>
      <c r="AS44" s="1450"/>
      <c r="AT44" s="1450"/>
      <c r="AU44" s="1450"/>
      <c r="AV44" s="1450"/>
      <c r="AW44" s="1450"/>
      <c r="AX44" s="1450"/>
      <c r="AY44" s="1450"/>
      <c r="AZ44" s="1450"/>
      <c r="BA44" s="1450"/>
      <c r="BB44" s="1450"/>
      <c r="BC44" s="1450"/>
      <c r="BD44" s="1450"/>
      <c r="BE44" s="1451"/>
      <c r="BF44" s="1370"/>
      <c r="BG44" s="1229"/>
      <c r="BH44" s="1229"/>
      <c r="BI44" s="1229"/>
      <c r="BJ44" s="1229"/>
      <c r="BK44" s="1229"/>
      <c r="BL44" s="1229"/>
      <c r="BM44" s="1229"/>
      <c r="BN44" s="1229"/>
      <c r="BO44" s="1229"/>
      <c r="BP44" s="1229"/>
      <c r="BQ44" s="1229"/>
      <c r="BR44" s="1229"/>
      <c r="BS44" s="1229"/>
      <c r="BT44" s="1229"/>
      <c r="BU44" s="1229"/>
      <c r="BV44" s="1229"/>
      <c r="BW44" s="1229"/>
      <c r="BX44" s="1229"/>
      <c r="BY44" s="1229"/>
      <c r="BZ44" s="1231"/>
      <c r="CA44" s="1231"/>
      <c r="CB44" s="1231"/>
      <c r="CC44" s="431"/>
      <c r="CD44" s="1203"/>
      <c r="CE44" s="1203"/>
      <c r="CF44" s="1203"/>
      <c r="CG44" s="1203"/>
      <c r="CH44" s="1204"/>
      <c r="CI44" s="1201"/>
      <c r="CJ44" s="1201"/>
      <c r="CK44" s="1201"/>
      <c r="CL44" s="1204"/>
      <c r="CM44" s="1219"/>
      <c r="CN44" s="1219"/>
      <c r="CO44" s="1219"/>
      <c r="CP44" s="1204"/>
      <c r="CQ44" s="1222"/>
      <c r="CR44" s="1222"/>
      <c r="CS44" s="1222"/>
      <c r="CT44" s="1222"/>
      <c r="CU44" s="1222"/>
      <c r="CV44" s="1222"/>
      <c r="CW44" s="1222"/>
      <c r="CX44" s="186">
        <f>CONCATENATE(IF(CX43&lt;&gt;0,CONCATENATE(IF(CX43&gt;0,"+",""),CX43,"Env."),""),IF(CY43&lt;&gt;0,CONCATENATE(IF(CY43&gt;0,"+",""),CY43,"Misc"),""),IF(CZ43&lt;&gt;0,CONCATENATE(IF(CZ43&gt;0,"+",""),CZ43,"Size"),""),IF(DA43&lt;&gt;0,CONCATENATE(IF(DA43&gt;0,"+",""),DA43,"Race"),""),IF(DB43&lt;&gt;0,CONCATENATE(IF(DB43&gt;0,"+",""),DB43,"Cmp."),""),IF(DC43&lt;&gt;0,CONCATENATE(IF(DC43&gt;0,"+",""),DC43),""),IF(DE43="-","",IF(DE43=0,"",CONCATENATE(DE43,"ACP"))))</f>
      </c>
      <c r="CY44" s="186"/>
      <c r="CZ44" s="186"/>
      <c r="DA44" s="186"/>
      <c r="DB44" s="186"/>
      <c r="DG44" s="192"/>
      <c r="DH44" s="1197"/>
      <c r="DI44" s="1194"/>
      <c r="DJ44" s="1688"/>
      <c r="DK44" s="1688"/>
    </row>
    <row r="45" spans="1:115" ht="10.5" customHeight="1" thickBot="1">
      <c r="A45" s="190"/>
      <c r="B45" s="190"/>
      <c r="C45" s="190"/>
      <c r="D45" s="190"/>
      <c r="E45" s="190"/>
      <c r="F45" s="190"/>
      <c r="G45" s="190"/>
      <c r="H45" s="190"/>
      <c r="I45" s="190"/>
      <c r="J45" s="190"/>
      <c r="K45" s="190"/>
      <c r="L45" s="176"/>
      <c r="M45" s="436"/>
      <c r="N45" s="436"/>
      <c r="O45" s="436"/>
      <c r="P45" s="436"/>
      <c r="Q45" s="434"/>
      <c r="R45" s="456"/>
      <c r="S45" s="456"/>
      <c r="T45" s="456"/>
      <c r="U45" s="456"/>
      <c r="V45" s="434"/>
      <c r="W45" s="456"/>
      <c r="X45" s="456"/>
      <c r="Y45" s="456"/>
      <c r="Z45" s="456"/>
      <c r="AA45" s="434"/>
      <c r="AB45" s="459"/>
      <c r="AC45" s="459"/>
      <c r="AD45" s="459"/>
      <c r="AE45" s="459"/>
      <c r="AF45" s="435"/>
      <c r="AG45" s="459"/>
      <c r="AH45" s="459"/>
      <c r="AI45" s="459"/>
      <c r="AJ45" s="459"/>
      <c r="AK45" s="434"/>
      <c r="AL45" s="434"/>
      <c r="AM45" s="434"/>
      <c r="AN45" s="434"/>
      <c r="AO45" s="434"/>
      <c r="AP45" s="434"/>
      <c r="AQ45" s="1449"/>
      <c r="AR45" s="1450"/>
      <c r="AS45" s="1450"/>
      <c r="AT45" s="1450"/>
      <c r="AU45" s="1450"/>
      <c r="AV45" s="1450"/>
      <c r="AW45" s="1450"/>
      <c r="AX45" s="1450"/>
      <c r="AY45" s="1450"/>
      <c r="AZ45" s="1450"/>
      <c r="BA45" s="1450"/>
      <c r="BB45" s="1450"/>
      <c r="BC45" s="1450"/>
      <c r="BD45" s="1450"/>
      <c r="BE45" s="1451"/>
      <c r="BF45" s="1370">
        <f ca="1">INDIRECT(ADDRESS(ROW(BF45),111+$BF$28))</f>
        <v>9</v>
      </c>
      <c r="BG45" s="1228" t="str">
        <f>IF(BF45=60,"",INDEX('技能'!$B$12:$B$70,BF45))</f>
        <v>Disable Device</v>
      </c>
      <c r="BH45" s="1228"/>
      <c r="BI45" s="1228"/>
      <c r="BJ45" s="1228"/>
      <c r="BK45" s="1228"/>
      <c r="BL45" s="1228"/>
      <c r="BM45" s="1228"/>
      <c r="BN45" s="1228"/>
      <c r="BO45" s="1228"/>
      <c r="BP45" s="1228"/>
      <c r="BQ45" s="1228"/>
      <c r="BR45" s="1228"/>
      <c r="BS45" s="1228"/>
      <c r="BT45" s="1228"/>
      <c r="BU45" s="1228"/>
      <c r="BV45" s="1228"/>
      <c r="BW45" s="1228"/>
      <c r="BX45" s="1228"/>
      <c r="BY45" s="1228"/>
      <c r="BZ45" s="1230" t="str">
        <f>IF(BF45=60,"",INDEX('技能'!$D$12:$D$70,BF45))</f>
        <v>DEX</v>
      </c>
      <c r="CA45" s="1230"/>
      <c r="CB45" s="1230"/>
      <c r="CC45" s="431">
        <f>IF(BF45=60,"",IF(INDEX('技能'!$P$12:$P$70,BF45)=0,"*",""))</f>
      </c>
      <c r="CD45" s="1202" t="str">
        <f>IF(BF45=60,"",IF(BZ45="なし","-",INDEX('技能'!$E$12:$E$70,BF45)))</f>
        <v>-</v>
      </c>
      <c r="CE45" s="1202"/>
      <c r="CF45" s="1202"/>
      <c r="CG45" s="1202"/>
      <c r="CH45" s="1204" t="s">
        <v>213</v>
      </c>
      <c r="CI45" s="1200">
        <f>IF(BF45=60,"",IF(BZ45="なし","-",INDEX('技能'!$F$12:$F$70,BF45)))</f>
        <v>0</v>
      </c>
      <c r="CJ45" s="1200"/>
      <c r="CK45" s="1200"/>
      <c r="CL45" s="1204" t="s">
        <v>214</v>
      </c>
      <c r="CM45" s="1218">
        <f>IF(BF45=60,"",IF(INDEX('技能'!$G$12:$G$70,BF45)&lt;&gt;0,INDEX('技能'!$O$12:$O$70,BF45)&amp;"#",INDEX('技能'!$O$12:$O$70,BF45)))</f>
        <v>0</v>
      </c>
      <c r="CN45" s="1218"/>
      <c r="CO45" s="1218"/>
      <c r="CP45" s="1204"/>
      <c r="CQ45" s="1220" t="str">
        <f>IF(BF45=60,"",IF(LEN(CX46)&lt;=14,CX46,CONCATENATE(IF(SUM(CX45:DD45)&gt;=0,"+",""),SUM(CX45:DD45),"(Total)")))</f>
        <v>-5ACP</v>
      </c>
      <c r="CR45" s="1221"/>
      <c r="CS45" s="1221"/>
      <c r="CT45" s="1221"/>
      <c r="CU45" s="1221"/>
      <c r="CV45" s="1221"/>
      <c r="CW45" s="1221"/>
      <c r="CX45" s="186">
        <f>INDEX('技能'!$J$12:$J$71,' 印刷'!BF45)</f>
        <v>0</v>
      </c>
      <c r="CY45" s="186">
        <f>INDEX('技能'!$K$12:$K$71,BF45)</f>
        <v>0</v>
      </c>
      <c r="CZ45" s="186">
        <f>INDEX('技能'!$L$12:$L$71,BF45)</f>
        <v>0</v>
      </c>
      <c r="DA45" s="186">
        <f>INDEX('技能'!$M$12:$M$71,BF45)</f>
        <v>0</v>
      </c>
      <c r="DB45" s="186">
        <f>INDEX('技能'!$I$12:$I$71,BF45)</f>
        <v>0</v>
      </c>
      <c r="DC45" s="186">
        <f>INDEX('技能'!$H$12:$H$71,BF45)</f>
        <v>0</v>
      </c>
      <c r="DD45" s="186">
        <f>INDEX('技能'!$G$12:$G$71,BF45)</f>
        <v>0</v>
      </c>
      <c r="DE45" s="186">
        <f>INDEX('技能'!$P$12:$P$71,BF45)</f>
        <v>-5</v>
      </c>
      <c r="DF45" s="351" t="str">
        <f>INDEX('技能'!$N$12:$N$71,BF45)</f>
        <v>No</v>
      </c>
      <c r="DG45" s="192"/>
      <c r="DH45" s="1197">
        <v>9</v>
      </c>
      <c r="DI45" s="1194">
        <v>16</v>
      </c>
      <c r="DJ45" s="1688"/>
      <c r="DK45" s="1688"/>
    </row>
    <row r="46" spans="1:115" ht="10.5" customHeight="1" thickTop="1">
      <c r="A46" s="1159" t="s">
        <v>850</v>
      </c>
      <c r="B46" s="1159"/>
      <c r="C46" s="1159"/>
      <c r="D46" s="1159"/>
      <c r="E46" s="1159"/>
      <c r="F46" s="1159"/>
      <c r="G46" s="1159"/>
      <c r="H46" s="1159"/>
      <c r="I46" s="1159"/>
      <c r="J46" s="1159"/>
      <c r="K46" s="1159"/>
      <c r="L46" s="176"/>
      <c r="M46" s="1174">
        <f>'能力'!U32</f>
        <v>6</v>
      </c>
      <c r="N46" s="1175"/>
      <c r="O46" s="1175"/>
      <c r="P46" s="1176"/>
      <c r="Q46" s="434"/>
      <c r="R46" s="1183">
        <f>'能力'!AA32</f>
        <v>3</v>
      </c>
      <c r="S46" s="1184"/>
      <c r="T46" s="1184"/>
      <c r="U46" s="1185"/>
      <c r="V46" s="434"/>
      <c r="W46" s="1308">
        <f>M29</f>
        <v>0</v>
      </c>
      <c r="X46" s="1309"/>
      <c r="Y46" s="1309"/>
      <c r="Z46" s="1310"/>
      <c r="AA46" s="434"/>
      <c r="AB46" s="1272">
        <f>IF('能力'!U34=0,"",'能力'!U34)</f>
      </c>
      <c r="AC46" s="1273"/>
      <c r="AD46" s="1273"/>
      <c r="AE46" s="1274"/>
      <c r="AF46" s="435"/>
      <c r="AG46" s="1272">
        <f>IF(SUM('能力'!U35:U37)=0,"",SUM('能力'!U35:U37))</f>
        <v>3</v>
      </c>
      <c r="AH46" s="1273"/>
      <c r="AI46" s="1273"/>
      <c r="AJ46" s="1274"/>
      <c r="AK46" s="434"/>
      <c r="AL46" s="1263"/>
      <c r="AM46" s="1264"/>
      <c r="AN46" s="1264"/>
      <c r="AO46" s="1265"/>
      <c r="AP46" s="434"/>
      <c r="AQ46" s="1449"/>
      <c r="AR46" s="1450"/>
      <c r="AS46" s="1450"/>
      <c r="AT46" s="1450"/>
      <c r="AU46" s="1450"/>
      <c r="AV46" s="1450"/>
      <c r="AW46" s="1450"/>
      <c r="AX46" s="1450"/>
      <c r="AY46" s="1450"/>
      <c r="AZ46" s="1450"/>
      <c r="BA46" s="1450"/>
      <c r="BB46" s="1450"/>
      <c r="BC46" s="1450"/>
      <c r="BD46" s="1450"/>
      <c r="BE46" s="1451"/>
      <c r="BF46" s="1370"/>
      <c r="BG46" s="1229"/>
      <c r="BH46" s="1229"/>
      <c r="BI46" s="1229"/>
      <c r="BJ46" s="1229"/>
      <c r="BK46" s="1229"/>
      <c r="BL46" s="1229"/>
      <c r="BM46" s="1229"/>
      <c r="BN46" s="1229"/>
      <c r="BO46" s="1229"/>
      <c r="BP46" s="1229"/>
      <c r="BQ46" s="1229"/>
      <c r="BR46" s="1229"/>
      <c r="BS46" s="1229"/>
      <c r="BT46" s="1229"/>
      <c r="BU46" s="1229"/>
      <c r="BV46" s="1229"/>
      <c r="BW46" s="1229"/>
      <c r="BX46" s="1229"/>
      <c r="BY46" s="1229"/>
      <c r="BZ46" s="1231"/>
      <c r="CA46" s="1231"/>
      <c r="CB46" s="1231"/>
      <c r="CC46" s="431"/>
      <c r="CD46" s="1203"/>
      <c r="CE46" s="1203"/>
      <c r="CF46" s="1203"/>
      <c r="CG46" s="1203"/>
      <c r="CH46" s="1204"/>
      <c r="CI46" s="1201"/>
      <c r="CJ46" s="1201"/>
      <c r="CK46" s="1201"/>
      <c r="CL46" s="1204"/>
      <c r="CM46" s="1219"/>
      <c r="CN46" s="1219"/>
      <c r="CO46" s="1219"/>
      <c r="CP46" s="1204"/>
      <c r="CQ46" s="1222"/>
      <c r="CR46" s="1222"/>
      <c r="CS46" s="1222"/>
      <c r="CT46" s="1222"/>
      <c r="CU46" s="1222"/>
      <c r="CV46" s="1222"/>
      <c r="CW46" s="1222"/>
      <c r="CX46" s="186" t="str">
        <f>CONCATENATE(IF(CX45&lt;&gt;0,CONCATENATE(IF(CX45&gt;0,"+",""),CX45,"Env."),""),IF(CY45&lt;&gt;0,CONCATENATE(IF(CY45&gt;0,"+",""),CY45,"Misc"),""),IF(CZ45&lt;&gt;0,CONCATENATE(IF(CZ45&gt;0,"+",""),CZ45,"Size"),""),IF(DA45&lt;&gt;0,CONCATENATE(IF(DA45&gt;0,"+",""),DA45,"Race"),""),IF(DB45&lt;&gt;0,CONCATENATE(IF(DB45&gt;0,"+",""),DB45,"Cmp."),""),IF(DC45&lt;&gt;0,CONCATENATE(IF(DC45&gt;0,"+",""),DC45),""),IF(DE45="-","",IF(DE45=0,"",CONCATENATE(DE45,"ACP"))))</f>
        <v>-5ACP</v>
      </c>
      <c r="CY46" s="186"/>
      <c r="CZ46" s="186"/>
      <c r="DA46" s="186"/>
      <c r="DB46" s="186"/>
      <c r="DG46" s="192"/>
      <c r="DH46" s="1197"/>
      <c r="DI46" s="1194"/>
      <c r="DJ46" s="1688"/>
      <c r="DK46" s="1688"/>
    </row>
    <row r="47" spans="1:115" ht="10.5" customHeight="1">
      <c r="A47" s="1159"/>
      <c r="B47" s="1159"/>
      <c r="C47" s="1159"/>
      <c r="D47" s="1159"/>
      <c r="E47" s="1159"/>
      <c r="F47" s="1159"/>
      <c r="G47" s="1159"/>
      <c r="H47" s="1159"/>
      <c r="I47" s="1159"/>
      <c r="J47" s="1159"/>
      <c r="K47" s="1159"/>
      <c r="L47" s="176"/>
      <c r="M47" s="1177"/>
      <c r="N47" s="1178"/>
      <c r="O47" s="1178"/>
      <c r="P47" s="1179"/>
      <c r="Q47" s="460" t="s">
        <v>677</v>
      </c>
      <c r="R47" s="1186"/>
      <c r="S47" s="1187"/>
      <c r="T47" s="1187"/>
      <c r="U47" s="1188"/>
      <c r="V47" s="455" t="s">
        <v>678</v>
      </c>
      <c r="W47" s="1311"/>
      <c r="X47" s="1202"/>
      <c r="Y47" s="1202"/>
      <c r="Z47" s="1312"/>
      <c r="AA47" s="455" t="s">
        <v>678</v>
      </c>
      <c r="AB47" s="1275"/>
      <c r="AC47" s="1276"/>
      <c r="AD47" s="1276"/>
      <c r="AE47" s="1277"/>
      <c r="AF47" s="432" t="s">
        <v>678</v>
      </c>
      <c r="AG47" s="1275"/>
      <c r="AH47" s="1276"/>
      <c r="AI47" s="1276"/>
      <c r="AJ47" s="1277"/>
      <c r="AK47" s="455" t="s">
        <v>678</v>
      </c>
      <c r="AL47" s="1266"/>
      <c r="AM47" s="1267"/>
      <c r="AN47" s="1267"/>
      <c r="AO47" s="1268"/>
      <c r="AP47" s="434"/>
      <c r="AQ47" s="1449"/>
      <c r="AR47" s="1450"/>
      <c r="AS47" s="1450"/>
      <c r="AT47" s="1450"/>
      <c r="AU47" s="1450"/>
      <c r="AV47" s="1450"/>
      <c r="AW47" s="1450"/>
      <c r="AX47" s="1450"/>
      <c r="AY47" s="1450"/>
      <c r="AZ47" s="1450"/>
      <c r="BA47" s="1450"/>
      <c r="BB47" s="1450"/>
      <c r="BC47" s="1450"/>
      <c r="BD47" s="1450"/>
      <c r="BE47" s="1451"/>
      <c r="BF47" s="1370">
        <f ca="1">INDIRECT(ADDRESS(ROW(BF47),111+$BF$28))</f>
        <v>10</v>
      </c>
      <c r="BG47" s="1228" t="str">
        <f>IF(BF47=60,"",INDEX('技能'!$B$12:$B$70,BF47))</f>
        <v>Disguise</v>
      </c>
      <c r="BH47" s="1228"/>
      <c r="BI47" s="1228"/>
      <c r="BJ47" s="1228"/>
      <c r="BK47" s="1228"/>
      <c r="BL47" s="1228"/>
      <c r="BM47" s="1228"/>
      <c r="BN47" s="1228"/>
      <c r="BO47" s="1228"/>
      <c r="BP47" s="1228"/>
      <c r="BQ47" s="1228"/>
      <c r="BR47" s="1228"/>
      <c r="BS47" s="1228"/>
      <c r="BT47" s="1228"/>
      <c r="BU47" s="1228"/>
      <c r="BV47" s="1228"/>
      <c r="BW47" s="1228"/>
      <c r="BX47" s="1228"/>
      <c r="BY47" s="1228"/>
      <c r="BZ47" s="1230" t="str">
        <f>IF(BF47=60,"",INDEX('技能'!$D$12:$D$70,BF47))</f>
        <v>CHA</v>
      </c>
      <c r="CA47" s="1230"/>
      <c r="CB47" s="1230"/>
      <c r="CC47" s="431">
        <f>IF(BF47=60,"",IF(INDEX('技能'!$P$12:$P$70,BF47)=0,"*",""))</f>
      </c>
      <c r="CD47" s="1202">
        <f>IF(BF47=60,"",IF(BZ47="なし","-",INDEX('技能'!$E$12:$E$70,BF47)))</f>
        <v>0</v>
      </c>
      <c r="CE47" s="1202"/>
      <c r="CF47" s="1202"/>
      <c r="CG47" s="1202"/>
      <c r="CH47" s="1204" t="s">
        <v>213</v>
      </c>
      <c r="CI47" s="1200">
        <f>IF(BF47=60,"",IF(BZ47="なし","-",INDEX('技能'!$F$12:$F$70,BF47)))</f>
        <v>0</v>
      </c>
      <c r="CJ47" s="1200"/>
      <c r="CK47" s="1200"/>
      <c r="CL47" s="1204" t="s">
        <v>214</v>
      </c>
      <c r="CM47" s="1218">
        <f>IF(BF47=60,"",IF(INDEX('技能'!$G$12:$G$70,BF47)&lt;&gt;0,INDEX('技能'!$O$12:$O$70,BF47)&amp;"#",INDEX('技能'!$O$12:$O$70,BF47)))</f>
        <v>0</v>
      </c>
      <c r="CN47" s="1218"/>
      <c r="CO47" s="1218"/>
      <c r="CP47" s="1204"/>
      <c r="CQ47" s="1220">
        <f>IF(BF47=60,"",IF(LEN(CX48)&lt;=14,CX48,CONCATENATE(IF(SUM(CX47:DD47)&gt;=0,"+",""),SUM(CX47:DD47),"(Total)")))</f>
      </c>
      <c r="CR47" s="1221"/>
      <c r="CS47" s="1221"/>
      <c r="CT47" s="1221"/>
      <c r="CU47" s="1221"/>
      <c r="CV47" s="1221"/>
      <c r="CW47" s="1221"/>
      <c r="CX47" s="186">
        <f>INDEX('技能'!$J$12:$J$71,' 印刷'!BF47)</f>
        <v>0</v>
      </c>
      <c r="CY47" s="186">
        <f>INDEX('技能'!$K$12:$K$71,BF47)</f>
        <v>0</v>
      </c>
      <c r="CZ47" s="186">
        <f>INDEX('技能'!$L$12:$L$71,BF47)</f>
        <v>0</v>
      </c>
      <c r="DA47" s="186">
        <f>INDEX('技能'!$M$12:$M$71,BF47)</f>
        <v>0</v>
      </c>
      <c r="DB47" s="186">
        <f>INDEX('技能'!$I$12:$I$71,BF47)</f>
        <v>0</v>
      </c>
      <c r="DC47" s="186">
        <f>INDEX('技能'!$H$12:$H$71,BF47)</f>
        <v>0</v>
      </c>
      <c r="DD47" s="186">
        <f>INDEX('技能'!$G$12:$G$71,BF47)</f>
        <v>0</v>
      </c>
      <c r="DE47" s="186" t="str">
        <f>INDEX('技能'!$P$12:$P$71,BF47)</f>
        <v>-</v>
      </c>
      <c r="DF47" s="351" t="str">
        <f>INDEX('技能'!$N$12:$N$71,BF47)</f>
        <v>Yes</v>
      </c>
      <c r="DG47" s="192"/>
      <c r="DH47" s="1197">
        <v>10</v>
      </c>
      <c r="DI47" s="1194">
        <v>31</v>
      </c>
      <c r="DJ47" s="1688"/>
      <c r="DK47" s="1688"/>
    </row>
    <row r="48" spans="1:115" ht="10.5" customHeight="1" thickBot="1">
      <c r="A48" s="1161"/>
      <c r="B48" s="1161"/>
      <c r="C48" s="1161"/>
      <c r="D48" s="1161"/>
      <c r="E48" s="1161"/>
      <c r="F48" s="1161"/>
      <c r="G48" s="1161"/>
      <c r="H48" s="1161"/>
      <c r="I48" s="1161"/>
      <c r="J48" s="1161"/>
      <c r="K48" s="1161"/>
      <c r="L48" s="176"/>
      <c r="M48" s="1180"/>
      <c r="N48" s="1181"/>
      <c r="O48" s="1181"/>
      <c r="P48" s="1182"/>
      <c r="Q48" s="434"/>
      <c r="R48" s="1189"/>
      <c r="S48" s="1190"/>
      <c r="T48" s="1190"/>
      <c r="U48" s="1191"/>
      <c r="V48" s="456"/>
      <c r="W48" s="1313"/>
      <c r="X48" s="1314"/>
      <c r="Y48" s="1314"/>
      <c r="Z48" s="1315"/>
      <c r="AA48" s="456"/>
      <c r="AB48" s="1278"/>
      <c r="AC48" s="1279"/>
      <c r="AD48" s="1279"/>
      <c r="AE48" s="1280"/>
      <c r="AF48" s="459"/>
      <c r="AG48" s="1278"/>
      <c r="AH48" s="1279"/>
      <c r="AI48" s="1279"/>
      <c r="AJ48" s="1280"/>
      <c r="AK48" s="434"/>
      <c r="AL48" s="1269"/>
      <c r="AM48" s="1270"/>
      <c r="AN48" s="1270"/>
      <c r="AO48" s="1271"/>
      <c r="AP48" s="434"/>
      <c r="AQ48" s="1465"/>
      <c r="AR48" s="1466"/>
      <c r="AS48" s="1466"/>
      <c r="AT48" s="1466"/>
      <c r="AU48" s="1466"/>
      <c r="AV48" s="1466"/>
      <c r="AW48" s="1466"/>
      <c r="AX48" s="1466"/>
      <c r="AY48" s="1466"/>
      <c r="AZ48" s="1466"/>
      <c r="BA48" s="1466"/>
      <c r="BB48" s="1466"/>
      <c r="BC48" s="1466"/>
      <c r="BD48" s="1466"/>
      <c r="BE48" s="1467"/>
      <c r="BF48" s="1370"/>
      <c r="BG48" s="1229"/>
      <c r="BH48" s="1229"/>
      <c r="BI48" s="1229"/>
      <c r="BJ48" s="1229"/>
      <c r="BK48" s="1229"/>
      <c r="BL48" s="1229"/>
      <c r="BM48" s="1229"/>
      <c r="BN48" s="1229"/>
      <c r="BO48" s="1229"/>
      <c r="BP48" s="1229"/>
      <c r="BQ48" s="1229"/>
      <c r="BR48" s="1229"/>
      <c r="BS48" s="1229"/>
      <c r="BT48" s="1229"/>
      <c r="BU48" s="1229"/>
      <c r="BV48" s="1229"/>
      <c r="BW48" s="1229"/>
      <c r="BX48" s="1229"/>
      <c r="BY48" s="1229"/>
      <c r="BZ48" s="1231"/>
      <c r="CA48" s="1231"/>
      <c r="CB48" s="1231"/>
      <c r="CC48" s="431"/>
      <c r="CD48" s="1203"/>
      <c r="CE48" s="1203"/>
      <c r="CF48" s="1203"/>
      <c r="CG48" s="1203"/>
      <c r="CH48" s="1204"/>
      <c r="CI48" s="1201"/>
      <c r="CJ48" s="1201"/>
      <c r="CK48" s="1201"/>
      <c r="CL48" s="1204"/>
      <c r="CM48" s="1219"/>
      <c r="CN48" s="1219"/>
      <c r="CO48" s="1219"/>
      <c r="CP48" s="1204"/>
      <c r="CQ48" s="1222"/>
      <c r="CR48" s="1222"/>
      <c r="CS48" s="1222"/>
      <c r="CT48" s="1222"/>
      <c r="CU48" s="1222"/>
      <c r="CV48" s="1222"/>
      <c r="CW48" s="1222"/>
      <c r="CX48" s="186">
        <f>CONCATENATE(IF(CX47&lt;&gt;0,CONCATENATE(IF(CX47&gt;0,"+",""),CX47,"Env."),""),IF(CY47&lt;&gt;0,CONCATENATE(IF(CY47&gt;0,"+",""),CY47,"Misc"),""),IF(CZ47&lt;&gt;0,CONCATENATE(IF(CZ47&gt;0,"+",""),CZ47,"Size"),""),IF(DA47&lt;&gt;0,CONCATENATE(IF(DA47&gt;0,"+",""),DA47,"Race"),""),IF(DB47&lt;&gt;0,CONCATENATE(IF(DB47&gt;0,"+",""),DB47,"Cmp."),""),IF(DC47&lt;&gt;0,CONCATENATE(IF(DC47&gt;0,"+",""),DC47),""),IF(DE47="-","",IF(DE47=0,"",CONCATENATE(DE47,"ACP"))))</f>
      </c>
      <c r="CY48" s="186"/>
      <c r="CZ48" s="186"/>
      <c r="DA48" s="186"/>
      <c r="DB48" s="186"/>
      <c r="DG48" s="192"/>
      <c r="DH48" s="1197"/>
      <c r="DI48" s="1194"/>
      <c r="DJ48" s="1688"/>
      <c r="DK48" s="1688"/>
    </row>
    <row r="49" spans="1:115" ht="10.5" customHeight="1">
      <c r="A49" s="176"/>
      <c r="B49" s="176"/>
      <c r="C49" s="176"/>
      <c r="D49" s="176"/>
      <c r="E49" s="176"/>
      <c r="F49" s="176"/>
      <c r="G49" s="176"/>
      <c r="H49" s="176"/>
      <c r="I49" s="176"/>
      <c r="J49" s="176"/>
      <c r="K49" s="176"/>
      <c r="L49" s="176"/>
      <c r="M49" s="176"/>
      <c r="N49" s="162"/>
      <c r="O49" s="162"/>
      <c r="P49" s="162"/>
      <c r="Q49" s="162"/>
      <c r="R49" s="162"/>
      <c r="S49" s="162"/>
      <c r="T49" s="162"/>
      <c r="U49" s="162"/>
      <c r="V49" s="162"/>
      <c r="W49" s="162"/>
      <c r="X49" s="162"/>
      <c r="Y49" s="162"/>
      <c r="Z49" s="162"/>
      <c r="AA49" s="162"/>
      <c r="AB49" s="162"/>
      <c r="AC49" s="162"/>
      <c r="AD49" s="162"/>
      <c r="AE49" s="162"/>
      <c r="AF49" s="162"/>
      <c r="AG49" s="162"/>
      <c r="AH49" s="162"/>
      <c r="AI49" s="162"/>
      <c r="AJ49" s="162"/>
      <c r="AK49" s="162"/>
      <c r="AL49" s="162"/>
      <c r="AM49" s="162"/>
      <c r="AN49" s="162"/>
      <c r="AO49" s="162"/>
      <c r="AP49" s="162"/>
      <c r="AQ49" s="162"/>
      <c r="AR49" s="162"/>
      <c r="AS49" s="162"/>
      <c r="AT49" s="162"/>
      <c r="AU49" s="162"/>
      <c r="AV49" s="162"/>
      <c r="AW49" s="162"/>
      <c r="AX49" s="162"/>
      <c r="AY49" s="162"/>
      <c r="AZ49" s="162"/>
      <c r="BA49" s="162"/>
      <c r="BB49" s="162"/>
      <c r="BC49" s="162"/>
      <c r="BD49" s="162"/>
      <c r="BE49" s="192"/>
      <c r="BF49" s="1468">
        <f ca="1">INDIRECT(ADDRESS(ROW(BF49),111+$BF$28))</f>
        <v>11</v>
      </c>
      <c r="BG49" s="1228" t="str">
        <f>IF(BF49=60,"",INDEX('技能'!$B$12:$B$70,BF49))</f>
        <v>Escape Artist</v>
      </c>
      <c r="BH49" s="1228"/>
      <c r="BI49" s="1228"/>
      <c r="BJ49" s="1228"/>
      <c r="BK49" s="1228"/>
      <c r="BL49" s="1228"/>
      <c r="BM49" s="1228"/>
      <c r="BN49" s="1228"/>
      <c r="BO49" s="1228"/>
      <c r="BP49" s="1228"/>
      <c r="BQ49" s="1228"/>
      <c r="BR49" s="1228"/>
      <c r="BS49" s="1228"/>
      <c r="BT49" s="1228"/>
      <c r="BU49" s="1228"/>
      <c r="BV49" s="1228"/>
      <c r="BW49" s="1228"/>
      <c r="BX49" s="1228"/>
      <c r="BY49" s="1228"/>
      <c r="BZ49" s="1230" t="str">
        <f>IF(BF49=60,"",INDEX('技能'!$D$12:$D$70,BF49))</f>
        <v>DEX</v>
      </c>
      <c r="CA49" s="1230"/>
      <c r="CB49" s="1230"/>
      <c r="CC49" s="431">
        <f>IF(BF49=60,"",IF(INDEX('技能'!$P$12:$P$70,BF49)=0,"*",""))</f>
      </c>
      <c r="CD49" s="1202">
        <f>IF(BF49=60,"",IF(BZ49="なし","-",INDEX('技能'!$E$12:$E$70,BF49)))</f>
        <v>-5</v>
      </c>
      <c r="CE49" s="1202"/>
      <c r="CF49" s="1202"/>
      <c r="CG49" s="1202"/>
      <c r="CH49" s="1204" t="s">
        <v>213</v>
      </c>
      <c r="CI49" s="1200">
        <f>IF(BF49=60,"",IF(BZ49="なし","-",INDEX('技能'!$F$12:$F$70,BF49)))</f>
        <v>0</v>
      </c>
      <c r="CJ49" s="1200"/>
      <c r="CK49" s="1200"/>
      <c r="CL49" s="1204" t="s">
        <v>214</v>
      </c>
      <c r="CM49" s="1218">
        <f>IF(BF49=60,"",IF(INDEX('技能'!$G$12:$G$70,BF49)&lt;&gt;0,INDEX('技能'!$O$12:$O$70,BF49)&amp;"#",INDEX('技能'!$O$12:$O$70,BF49)))</f>
        <v>0</v>
      </c>
      <c r="CN49" s="1218"/>
      <c r="CO49" s="1218"/>
      <c r="CP49" s="1204"/>
      <c r="CQ49" s="1220" t="str">
        <f>IF(BF49=60,"",IF(LEN(CX50)&lt;=14,CX50,CONCATENATE(IF(SUM(CX49:DD49)&gt;=0,"+",""),SUM(CX49:DD49),"(Total)")))</f>
        <v>-5ACP</v>
      </c>
      <c r="CR49" s="1221"/>
      <c r="CS49" s="1221"/>
      <c r="CT49" s="1221"/>
      <c r="CU49" s="1221"/>
      <c r="CV49" s="1221"/>
      <c r="CW49" s="1221"/>
      <c r="CX49" s="186">
        <f>INDEX('技能'!$J$12:$J$71,' 印刷'!BF49)</f>
        <v>0</v>
      </c>
      <c r="CY49" s="186">
        <f>INDEX('技能'!$K$12:$K$71,BF49)</f>
        <v>0</v>
      </c>
      <c r="CZ49" s="186">
        <f>INDEX('技能'!$L$12:$L$71,BF49)</f>
        <v>0</v>
      </c>
      <c r="DA49" s="186">
        <f>INDEX('技能'!$M$12:$M$71,BF49)</f>
        <v>0</v>
      </c>
      <c r="DB49" s="186">
        <f>INDEX('技能'!$I$12:$I$71,BF49)</f>
        <v>0</v>
      </c>
      <c r="DC49" s="186">
        <f>INDEX('技能'!$H$12:$H$71,BF49)</f>
        <v>0</v>
      </c>
      <c r="DD49" s="186">
        <f>INDEX('技能'!$G$12:$G$71,BF49)</f>
        <v>0</v>
      </c>
      <c r="DE49" s="186">
        <f>INDEX('技能'!$P$12:$P$71,BF49)</f>
        <v>-5</v>
      </c>
      <c r="DF49" s="351" t="str">
        <f>INDEX('技能'!$N$12:$N$71,BF49)</f>
        <v>Yes</v>
      </c>
      <c r="DG49" s="192"/>
      <c r="DH49" s="1197">
        <v>11</v>
      </c>
      <c r="DI49" s="1194">
        <v>47</v>
      </c>
      <c r="DJ49" s="1688"/>
      <c r="DK49" s="1688"/>
    </row>
    <row r="50" spans="1:115" ht="10.5" customHeight="1">
      <c r="A50" s="176"/>
      <c r="B50" s="176"/>
      <c r="C50" s="176"/>
      <c r="D50" s="176"/>
      <c r="E50" s="176"/>
      <c r="F50" s="176"/>
      <c r="G50" s="176"/>
      <c r="H50" s="176"/>
      <c r="I50" s="176"/>
      <c r="J50" s="176"/>
      <c r="K50" s="176"/>
      <c r="L50" s="176"/>
      <c r="M50" s="434"/>
      <c r="N50" s="434"/>
      <c r="O50" s="434"/>
      <c r="P50" s="434"/>
      <c r="Q50" s="434"/>
      <c r="R50" s="434"/>
      <c r="S50" s="434"/>
      <c r="T50" s="434"/>
      <c r="U50" s="434"/>
      <c r="V50" s="434"/>
      <c r="W50" s="434"/>
      <c r="X50" s="434"/>
      <c r="Y50" s="434"/>
      <c r="Z50" s="434"/>
      <c r="AA50" s="434"/>
      <c r="AB50" s="434"/>
      <c r="AC50" s="434"/>
      <c r="AD50" s="434"/>
      <c r="AE50" s="434"/>
      <c r="AF50" s="434"/>
      <c r="AG50" s="431"/>
      <c r="AH50" s="431"/>
      <c r="AI50" s="431"/>
      <c r="AJ50" s="431"/>
      <c r="AK50" s="434"/>
      <c r="AL50" s="1304" t="s">
        <v>679</v>
      </c>
      <c r="AM50" s="1304"/>
      <c r="AN50" s="1304"/>
      <c r="AO50" s="1304"/>
      <c r="AP50" s="434"/>
      <c r="AQ50" s="1304" t="s">
        <v>680</v>
      </c>
      <c r="AR50" s="1304"/>
      <c r="AS50" s="1304"/>
      <c r="AT50" s="1304"/>
      <c r="AU50" s="434"/>
      <c r="AV50" s="1304" t="s">
        <v>669</v>
      </c>
      <c r="AW50" s="1304"/>
      <c r="AX50" s="1304"/>
      <c r="AY50" s="1304"/>
      <c r="AZ50" s="434"/>
      <c r="BA50" s="1304" t="s">
        <v>670</v>
      </c>
      <c r="BB50" s="1304"/>
      <c r="BC50" s="1304"/>
      <c r="BD50" s="1304"/>
      <c r="BE50" s="192"/>
      <c r="BF50" s="1468"/>
      <c r="BG50" s="1229"/>
      <c r="BH50" s="1229"/>
      <c r="BI50" s="1229"/>
      <c r="BJ50" s="1229"/>
      <c r="BK50" s="1229"/>
      <c r="BL50" s="1229"/>
      <c r="BM50" s="1229"/>
      <c r="BN50" s="1229"/>
      <c r="BO50" s="1229"/>
      <c r="BP50" s="1229"/>
      <c r="BQ50" s="1229"/>
      <c r="BR50" s="1229"/>
      <c r="BS50" s="1229"/>
      <c r="BT50" s="1229"/>
      <c r="BU50" s="1229"/>
      <c r="BV50" s="1229"/>
      <c r="BW50" s="1229"/>
      <c r="BX50" s="1229"/>
      <c r="BY50" s="1229"/>
      <c r="BZ50" s="1231"/>
      <c r="CA50" s="1231"/>
      <c r="CB50" s="1231"/>
      <c r="CC50" s="431"/>
      <c r="CD50" s="1203"/>
      <c r="CE50" s="1203"/>
      <c r="CF50" s="1203"/>
      <c r="CG50" s="1203"/>
      <c r="CH50" s="1204"/>
      <c r="CI50" s="1201"/>
      <c r="CJ50" s="1201"/>
      <c r="CK50" s="1201"/>
      <c r="CL50" s="1204"/>
      <c r="CM50" s="1219"/>
      <c r="CN50" s="1219"/>
      <c r="CO50" s="1219"/>
      <c r="CP50" s="1204"/>
      <c r="CQ50" s="1222"/>
      <c r="CR50" s="1222"/>
      <c r="CS50" s="1222"/>
      <c r="CT50" s="1222"/>
      <c r="CU50" s="1222"/>
      <c r="CV50" s="1222"/>
      <c r="CW50" s="1222"/>
      <c r="CX50" s="186" t="str">
        <f>CONCATENATE(IF(CX49&lt;&gt;0,CONCATENATE(IF(CX49&gt;0,"+",""),CX49,"Env."),""),IF(CY49&lt;&gt;0,CONCATENATE(IF(CY49&gt;0,"+",""),CY49,"Misc"),""),IF(CZ49&lt;&gt;0,CONCATENATE(IF(CZ49&gt;0,"+",""),CZ49,"Size"),""),IF(DA49&lt;&gt;0,CONCATENATE(IF(DA49&gt;0,"+",""),DA49,"Race"),""),IF(DB49&lt;&gt;0,CONCATENATE(IF(DB49&gt;0,"+",""),DB49,"Cmp."),""),IF(DC49&lt;&gt;0,CONCATENATE(IF(DC49&gt;0,"+",""),DC49),""),IF(DE49="-","",IF(DE49=0,"",CONCATENATE(DE49,"ACP"))))</f>
        <v>-5ACP</v>
      </c>
      <c r="CY50" s="186"/>
      <c r="CZ50" s="186"/>
      <c r="DA50" s="186"/>
      <c r="DB50" s="186"/>
      <c r="DG50" s="192"/>
      <c r="DH50" s="1197"/>
      <c r="DI50" s="1194"/>
      <c r="DJ50" s="1688"/>
      <c r="DK50" s="1688"/>
    </row>
    <row r="51" spans="1:115" ht="10.5" customHeight="1" thickBot="1">
      <c r="A51" s="176"/>
      <c r="B51" s="176"/>
      <c r="C51" s="176"/>
      <c r="D51" s="176"/>
      <c r="E51" s="176"/>
      <c r="F51" s="176"/>
      <c r="G51" s="176"/>
      <c r="H51" s="176"/>
      <c r="I51" s="176"/>
      <c r="J51" s="176"/>
      <c r="K51" s="176"/>
      <c r="L51" s="176"/>
      <c r="M51" s="434"/>
      <c r="N51" s="434"/>
      <c r="O51" s="434"/>
      <c r="P51" s="434"/>
      <c r="Q51" s="431"/>
      <c r="R51" s="434"/>
      <c r="S51" s="462" t="s">
        <v>673</v>
      </c>
      <c r="T51" s="434"/>
      <c r="U51" s="434"/>
      <c r="V51" s="434"/>
      <c r="W51" s="434"/>
      <c r="X51" s="434"/>
      <c r="Y51" s="434"/>
      <c r="Z51" s="434"/>
      <c r="AA51" s="431"/>
      <c r="AB51" s="434"/>
      <c r="AC51" s="434"/>
      <c r="AD51" s="434"/>
      <c r="AE51" s="434"/>
      <c r="AF51" s="455" t="s">
        <v>681</v>
      </c>
      <c r="AG51" s="431"/>
      <c r="AH51" s="431"/>
      <c r="AI51" s="431"/>
      <c r="AJ51" s="431"/>
      <c r="AK51" s="434"/>
      <c r="AL51" s="1305"/>
      <c r="AM51" s="1305"/>
      <c r="AN51" s="1305"/>
      <c r="AO51" s="1305"/>
      <c r="AP51" s="434"/>
      <c r="AQ51" s="1305"/>
      <c r="AR51" s="1305"/>
      <c r="AS51" s="1305"/>
      <c r="AT51" s="1305"/>
      <c r="AU51" s="434"/>
      <c r="AV51" s="1359"/>
      <c r="AW51" s="1359"/>
      <c r="AX51" s="1359"/>
      <c r="AY51" s="1359"/>
      <c r="AZ51" s="434"/>
      <c r="BA51" s="1359"/>
      <c r="BB51" s="1359"/>
      <c r="BC51" s="1359"/>
      <c r="BD51" s="1359"/>
      <c r="BE51" s="192"/>
      <c r="BF51" s="1468">
        <f ca="1">INDIRECT(ADDRESS(ROW(BF51),111+$BF$28))</f>
        <v>12</v>
      </c>
      <c r="BG51" s="1228" t="str">
        <f>IF(BF51=60,"",INDEX('技能'!$B$12:$B$70,BF51))</f>
        <v>Fly</v>
      </c>
      <c r="BH51" s="1228"/>
      <c r="BI51" s="1228"/>
      <c r="BJ51" s="1228"/>
      <c r="BK51" s="1228"/>
      <c r="BL51" s="1228"/>
      <c r="BM51" s="1228"/>
      <c r="BN51" s="1228"/>
      <c r="BO51" s="1228"/>
      <c r="BP51" s="1228"/>
      <c r="BQ51" s="1228"/>
      <c r="BR51" s="1228"/>
      <c r="BS51" s="1228"/>
      <c r="BT51" s="1228"/>
      <c r="BU51" s="1228"/>
      <c r="BV51" s="1228"/>
      <c r="BW51" s="1228"/>
      <c r="BX51" s="1228"/>
      <c r="BY51" s="1228"/>
      <c r="BZ51" s="1230" t="str">
        <f>IF(BF51=60,"",INDEX('技能'!$D$12:$D$70,BF51))</f>
        <v>DEX</v>
      </c>
      <c r="CA51" s="1230"/>
      <c r="CB51" s="1230"/>
      <c r="CC51" s="431">
        <f>IF(BF51=60,"",IF(INDEX('技能'!$P$12:$P$70,BF51)=0,"*",""))</f>
      </c>
      <c r="CD51" s="1202" t="str">
        <f>IF(BF51=60,"",IF(BZ51="なし","-",INDEX('技能'!$E$12:$E$70,BF51)))</f>
        <v>-</v>
      </c>
      <c r="CE51" s="1202"/>
      <c r="CF51" s="1202"/>
      <c r="CG51" s="1202"/>
      <c r="CH51" s="1204" t="s">
        <v>213</v>
      </c>
      <c r="CI51" s="1200">
        <f>IF(BF51=60,"",IF(BZ51="なし","-",INDEX('技能'!$F$12:$F$70,BF51)))</f>
        <v>0</v>
      </c>
      <c r="CJ51" s="1200"/>
      <c r="CK51" s="1200"/>
      <c r="CL51" s="1204" t="s">
        <v>214</v>
      </c>
      <c r="CM51" s="1218">
        <f>IF(BF51=60,"",IF(INDEX('技能'!$G$12:$G$70,BF51)&lt;&gt;0,INDEX('技能'!$O$12:$O$70,BF51)&amp;"#",INDEX('技能'!$O$12:$O$70,BF51)))</f>
        <v>0</v>
      </c>
      <c r="CN51" s="1218"/>
      <c r="CO51" s="1218"/>
      <c r="CP51" s="1204"/>
      <c r="CQ51" s="1220" t="str">
        <f>IF(BF51=60,"",IF(LEN(CX52)&lt;=14,CX52,CONCATENATE(IF(SUM(CX51:DD51)&gt;=0,"+",""),SUM(CX51:DD51),"(Total)")))</f>
        <v>-5ACP</v>
      </c>
      <c r="CR51" s="1221"/>
      <c r="CS51" s="1221"/>
      <c r="CT51" s="1221"/>
      <c r="CU51" s="1221"/>
      <c r="CV51" s="1221"/>
      <c r="CW51" s="1221"/>
      <c r="CX51" s="186">
        <f>INDEX('技能'!$J$12:$J$71,' 印刷'!BF51)</f>
        <v>0</v>
      </c>
      <c r="CY51" s="186">
        <f>INDEX('技能'!$K$12:$K$71,BF51)</f>
        <v>0</v>
      </c>
      <c r="CZ51" s="186">
        <f>INDEX('技能'!$L$12:$L$71,BF51)</f>
        <v>0</v>
      </c>
      <c r="DA51" s="186">
        <f>INDEX('技能'!$M$12:$M$71,BF51)</f>
        <v>0</v>
      </c>
      <c r="DB51" s="186">
        <f>INDEX('技能'!$I$12:$I$71,BF51)</f>
        <v>0</v>
      </c>
      <c r="DC51" s="186">
        <f>INDEX('技能'!$H$12:$H$71,BF51)</f>
        <v>0</v>
      </c>
      <c r="DD51" s="186">
        <f>INDEX('技能'!$G$12:$G$71,BF51)</f>
        <v>0</v>
      </c>
      <c r="DE51" s="186">
        <f>INDEX('技能'!$P$12:$P$71,BF51)</f>
        <v>-5</v>
      </c>
      <c r="DF51" s="351" t="str">
        <f>INDEX('技能'!$N$12:$N$71,BF51)</f>
        <v>No</v>
      </c>
      <c r="DG51" s="192"/>
      <c r="DH51" s="1197">
        <v>12</v>
      </c>
      <c r="DI51" s="1194">
        <v>50</v>
      </c>
      <c r="DJ51" s="1688"/>
      <c r="DK51" s="1688"/>
    </row>
    <row r="52" spans="1:115" ht="10.5" customHeight="1" thickTop="1">
      <c r="A52" s="1168" t="s">
        <v>860</v>
      </c>
      <c r="B52" s="1168"/>
      <c r="C52" s="1168"/>
      <c r="D52" s="1168"/>
      <c r="E52" s="1168"/>
      <c r="F52" s="1168"/>
      <c r="G52" s="1168"/>
      <c r="H52" s="1168"/>
      <c r="I52" s="1168"/>
      <c r="J52" s="1168"/>
      <c r="K52" s="1168"/>
      <c r="L52" s="206">
        <f>AL52+AQ52+AV52+BA52</f>
        <v>7</v>
      </c>
      <c r="M52" s="1174" t="str">
        <f>IF(A55&gt;=0,"+","")&amp;A55&amp;IF(B55&lt;&gt;"","/"&amp;IF(B55&gt;=0,"+","")&amp;B55,"")&amp;IF(C55&lt;&gt;"","/"&amp;IF(C55&gt;=0,"+","")&amp;C55,"")&amp;IF(D55&lt;&gt;"","/"&amp;IF(D55&gt;=0,"+","")&amp;D55,"")</f>
        <v>+18/+13/+8</v>
      </c>
      <c r="N52" s="1296"/>
      <c r="O52" s="1296"/>
      <c r="P52" s="1296"/>
      <c r="Q52" s="1296"/>
      <c r="R52" s="1296"/>
      <c r="S52" s="1296"/>
      <c r="T52" s="1296"/>
      <c r="U52" s="1296"/>
      <c r="V52" s="1296"/>
      <c r="W52" s="1296"/>
      <c r="X52" s="1296"/>
      <c r="Y52" s="1296"/>
      <c r="Z52" s="1297"/>
      <c r="AA52" s="431"/>
      <c r="AB52" s="1570">
        <f>AU65</f>
        <v>11</v>
      </c>
      <c r="AC52" s="1571"/>
      <c r="AD52" s="1571"/>
      <c r="AE52" s="1571"/>
      <c r="AF52" s="1571"/>
      <c r="AG52" s="1571"/>
      <c r="AH52" s="1571"/>
      <c r="AI52" s="1571"/>
      <c r="AJ52" s="1572"/>
      <c r="AK52" s="434"/>
      <c r="AL52" s="1287">
        <f>M13</f>
        <v>7</v>
      </c>
      <c r="AM52" s="1288"/>
      <c r="AN52" s="1288"/>
      <c r="AO52" s="1289"/>
      <c r="AP52" s="434"/>
      <c r="AQ52" s="1469">
        <f>Y9</f>
        <v>0</v>
      </c>
      <c r="AR52" s="1470"/>
      <c r="AS52" s="1470"/>
      <c r="AT52" s="1471"/>
      <c r="AU52" s="434"/>
      <c r="AV52" s="1325"/>
      <c r="AW52" s="1326"/>
      <c r="AX52" s="1326"/>
      <c r="AY52" s="1327"/>
      <c r="AZ52" s="434"/>
      <c r="BA52" s="1263"/>
      <c r="BB52" s="1264"/>
      <c r="BC52" s="1264"/>
      <c r="BD52" s="1265"/>
      <c r="BE52" s="192"/>
      <c r="BF52" s="1468"/>
      <c r="BG52" s="1229"/>
      <c r="BH52" s="1229"/>
      <c r="BI52" s="1229"/>
      <c r="BJ52" s="1229"/>
      <c r="BK52" s="1229"/>
      <c r="BL52" s="1229"/>
      <c r="BM52" s="1229"/>
      <c r="BN52" s="1229"/>
      <c r="BO52" s="1229"/>
      <c r="BP52" s="1229"/>
      <c r="BQ52" s="1229"/>
      <c r="BR52" s="1229"/>
      <c r="BS52" s="1229"/>
      <c r="BT52" s="1229"/>
      <c r="BU52" s="1229"/>
      <c r="BV52" s="1229"/>
      <c r="BW52" s="1229"/>
      <c r="BX52" s="1229"/>
      <c r="BY52" s="1229"/>
      <c r="BZ52" s="1231"/>
      <c r="CA52" s="1231"/>
      <c r="CB52" s="1231"/>
      <c r="CC52" s="431"/>
      <c r="CD52" s="1203"/>
      <c r="CE52" s="1203"/>
      <c r="CF52" s="1203"/>
      <c r="CG52" s="1203"/>
      <c r="CH52" s="1204"/>
      <c r="CI52" s="1201"/>
      <c r="CJ52" s="1201"/>
      <c r="CK52" s="1201"/>
      <c r="CL52" s="1204"/>
      <c r="CM52" s="1219"/>
      <c r="CN52" s="1219"/>
      <c r="CO52" s="1219"/>
      <c r="CP52" s="1204"/>
      <c r="CQ52" s="1222"/>
      <c r="CR52" s="1222"/>
      <c r="CS52" s="1222"/>
      <c r="CT52" s="1222"/>
      <c r="CU52" s="1222"/>
      <c r="CV52" s="1222"/>
      <c r="CW52" s="1222"/>
      <c r="CX52" s="186" t="str">
        <f>CONCATENATE(IF(CX51&lt;&gt;0,CONCATENATE(IF(CX51&gt;0,"+",""),CX51,"Env."),""),IF(CY51&lt;&gt;0,CONCATENATE(IF(CY51&gt;0,"+",""),CY51,"Misc"),""),IF(CZ51&lt;&gt;0,CONCATENATE(IF(CZ51&gt;0,"+",""),CZ51,"Size"),""),IF(DA51&lt;&gt;0,CONCATENATE(IF(DA51&gt;0,"+",""),DA51,"Race"),""),IF(DB51&lt;&gt;0,CONCATENATE(IF(DB51&gt;0,"+",""),DB51,"Cmp."),""),IF(DC51&lt;&gt;0,CONCATENATE(IF(DC51&gt;0,"+",""),DC51),""),IF(DE51="-","",IF(DE51=0,"",CONCATENATE(DE51,"ACP"))))</f>
        <v>-5ACP</v>
      </c>
      <c r="CY52" s="186"/>
      <c r="CZ52" s="186"/>
      <c r="DA52" s="186"/>
      <c r="DB52" s="186"/>
      <c r="DG52" s="192"/>
      <c r="DH52" s="1197"/>
      <c r="DI52" s="1194"/>
      <c r="DJ52" s="1688"/>
      <c r="DK52" s="1688"/>
    </row>
    <row r="53" spans="1:115" ht="10.5" customHeight="1">
      <c r="A53" s="1168"/>
      <c r="B53" s="1168"/>
      <c r="C53" s="1168"/>
      <c r="D53" s="1168"/>
      <c r="E53" s="1168"/>
      <c r="F53" s="1168"/>
      <c r="G53" s="1168"/>
      <c r="H53" s="1168"/>
      <c r="I53" s="1168"/>
      <c r="J53" s="1168"/>
      <c r="K53" s="1168"/>
      <c r="L53" s="176"/>
      <c r="M53" s="1298"/>
      <c r="N53" s="1299"/>
      <c r="O53" s="1299"/>
      <c r="P53" s="1299"/>
      <c r="Q53" s="1299"/>
      <c r="R53" s="1299"/>
      <c r="S53" s="1299"/>
      <c r="T53" s="1299"/>
      <c r="U53" s="1299"/>
      <c r="V53" s="1299"/>
      <c r="W53" s="1299"/>
      <c r="X53" s="1299"/>
      <c r="Y53" s="1299"/>
      <c r="Z53" s="1300"/>
      <c r="AA53" s="460" t="s">
        <v>677</v>
      </c>
      <c r="AB53" s="1573"/>
      <c r="AC53" s="1574"/>
      <c r="AD53" s="1574"/>
      <c r="AE53" s="1574"/>
      <c r="AF53" s="1574"/>
      <c r="AG53" s="1574"/>
      <c r="AH53" s="1574"/>
      <c r="AI53" s="1574"/>
      <c r="AJ53" s="1575"/>
      <c r="AK53" s="455" t="s">
        <v>678</v>
      </c>
      <c r="AL53" s="1290"/>
      <c r="AM53" s="1291"/>
      <c r="AN53" s="1291"/>
      <c r="AO53" s="1292"/>
      <c r="AP53" s="455" t="s">
        <v>678</v>
      </c>
      <c r="AQ53" s="1472"/>
      <c r="AR53" s="1276"/>
      <c r="AS53" s="1276"/>
      <c r="AT53" s="1473"/>
      <c r="AU53" s="455" t="s">
        <v>678</v>
      </c>
      <c r="AV53" s="1328"/>
      <c r="AW53" s="1329"/>
      <c r="AX53" s="1329"/>
      <c r="AY53" s="1330"/>
      <c r="AZ53" s="455" t="s">
        <v>678</v>
      </c>
      <c r="BA53" s="1266"/>
      <c r="BB53" s="1267"/>
      <c r="BC53" s="1267"/>
      <c r="BD53" s="1268"/>
      <c r="BE53" s="192"/>
      <c r="BF53" s="1468">
        <f ca="1">INDIRECT(ADDRESS(ROW(BF53),111+$BF$28))</f>
        <v>13</v>
      </c>
      <c r="BG53" s="1228" t="str">
        <f>IF(BF53=60,"",INDEX('技能'!$B$12:$B$70,BF53))</f>
        <v>Handle Animal</v>
      </c>
      <c r="BH53" s="1228"/>
      <c r="BI53" s="1228"/>
      <c r="BJ53" s="1228"/>
      <c r="BK53" s="1228"/>
      <c r="BL53" s="1228"/>
      <c r="BM53" s="1228"/>
      <c r="BN53" s="1228"/>
      <c r="BO53" s="1228"/>
      <c r="BP53" s="1228"/>
      <c r="BQ53" s="1228"/>
      <c r="BR53" s="1228"/>
      <c r="BS53" s="1228"/>
      <c r="BT53" s="1228"/>
      <c r="BU53" s="1228"/>
      <c r="BV53" s="1228"/>
      <c r="BW53" s="1228"/>
      <c r="BX53" s="1228"/>
      <c r="BY53" s="1228"/>
      <c r="BZ53" s="1230" t="str">
        <f>IF(BF53=60,"",INDEX('技能'!$D$12:$D$70,BF53))</f>
        <v>CHA</v>
      </c>
      <c r="CA53" s="1230"/>
      <c r="CB53" s="1230"/>
      <c r="CC53" s="431">
        <f>IF(BF53=60,"",IF(INDEX('技能'!$P$12:$P$70,BF53)=0,"*",""))</f>
      </c>
      <c r="CD53" s="1202" t="str">
        <f>IF(BF53=60,"",IF(BZ53="なし","-",INDEX('技能'!$E$12:$E$70,BF53)))</f>
        <v>-</v>
      </c>
      <c r="CE53" s="1202"/>
      <c r="CF53" s="1202"/>
      <c r="CG53" s="1202"/>
      <c r="CH53" s="1204" t="s">
        <v>213</v>
      </c>
      <c r="CI53" s="1200">
        <f>IF(BF53=60,"",IF(BZ53="なし","-",INDEX('技能'!$F$12:$F$70,BF53)))</f>
        <v>0</v>
      </c>
      <c r="CJ53" s="1200"/>
      <c r="CK53" s="1200"/>
      <c r="CL53" s="1204" t="s">
        <v>214</v>
      </c>
      <c r="CM53" s="1218">
        <f>IF(BF53=60,"",IF(INDEX('技能'!$G$12:$G$70,BF53)&lt;&gt;0,INDEX('技能'!$O$12:$O$70,BF53)&amp;"#",INDEX('技能'!$O$12:$O$70,BF53)))</f>
        <v>0</v>
      </c>
      <c r="CN53" s="1218"/>
      <c r="CO53" s="1218"/>
      <c r="CP53" s="1204"/>
      <c r="CQ53" s="1220">
        <f>IF(BF53=60,"",IF(LEN(CX54)&lt;=14,CX54,CONCATENATE(IF(SUM(CX53:DD53)&gt;=0,"+",""),SUM(CX53:DD53),"(Total)")))</f>
      </c>
      <c r="CR53" s="1221"/>
      <c r="CS53" s="1221"/>
      <c r="CT53" s="1221"/>
      <c r="CU53" s="1221"/>
      <c r="CV53" s="1221"/>
      <c r="CW53" s="1221"/>
      <c r="CX53" s="186">
        <f>INDEX('技能'!$J$12:$J$71,' 印刷'!BF53)</f>
        <v>0</v>
      </c>
      <c r="CY53" s="186">
        <f>INDEX('技能'!$K$12:$K$71,BF53)</f>
        <v>0</v>
      </c>
      <c r="CZ53" s="186">
        <f>INDEX('技能'!$L$12:$L$71,BF53)</f>
        <v>0</v>
      </c>
      <c r="DA53" s="186">
        <f>INDEX('技能'!$M$12:$M$71,BF53)</f>
        <v>0</v>
      </c>
      <c r="DB53" s="186">
        <f>INDEX('技能'!$I$12:$I$71,BF53)</f>
        <v>0</v>
      </c>
      <c r="DC53" s="186">
        <f>INDEX('技能'!$H$12:$H$71,BF53)</f>
        <v>0</v>
      </c>
      <c r="DD53" s="186">
        <f>INDEX('技能'!$G$12:$G$71,BF53)</f>
        <v>0</v>
      </c>
      <c r="DE53" s="186" t="str">
        <f>INDEX('技能'!$P$12:$P$71,BF53)</f>
        <v>-</v>
      </c>
      <c r="DF53" s="351" t="str">
        <f>INDEX('技能'!$N$12:$N$71,BF53)</f>
        <v>No</v>
      </c>
      <c r="DG53" s="192"/>
      <c r="DH53" s="1197">
        <v>13</v>
      </c>
      <c r="DI53" s="1194">
        <v>52</v>
      </c>
      <c r="DJ53" s="1688"/>
      <c r="DK53" s="1688"/>
    </row>
    <row r="54" spans="1:115" ht="10.5" customHeight="1" thickBot="1">
      <c r="A54" s="1169"/>
      <c r="B54" s="1169"/>
      <c r="C54" s="1169"/>
      <c r="D54" s="1169"/>
      <c r="E54" s="1169"/>
      <c r="F54" s="1169"/>
      <c r="G54" s="1169"/>
      <c r="H54" s="1169"/>
      <c r="I54" s="1169"/>
      <c r="J54" s="1169"/>
      <c r="K54" s="1169"/>
      <c r="L54" s="176"/>
      <c r="M54" s="1301"/>
      <c r="N54" s="1302"/>
      <c r="O54" s="1302"/>
      <c r="P54" s="1302"/>
      <c r="Q54" s="1302"/>
      <c r="R54" s="1302"/>
      <c r="S54" s="1302"/>
      <c r="T54" s="1302"/>
      <c r="U54" s="1302"/>
      <c r="V54" s="1302"/>
      <c r="W54" s="1302"/>
      <c r="X54" s="1302"/>
      <c r="Y54" s="1302"/>
      <c r="Z54" s="1303"/>
      <c r="AA54" s="431"/>
      <c r="AB54" s="1576"/>
      <c r="AC54" s="1577"/>
      <c r="AD54" s="1577"/>
      <c r="AE54" s="1577"/>
      <c r="AF54" s="1577"/>
      <c r="AG54" s="1577"/>
      <c r="AH54" s="1577"/>
      <c r="AI54" s="1577"/>
      <c r="AJ54" s="1578"/>
      <c r="AK54" s="434"/>
      <c r="AL54" s="1293"/>
      <c r="AM54" s="1294"/>
      <c r="AN54" s="1294"/>
      <c r="AO54" s="1295"/>
      <c r="AP54" s="434"/>
      <c r="AQ54" s="1474"/>
      <c r="AR54" s="1475"/>
      <c r="AS54" s="1475"/>
      <c r="AT54" s="1476"/>
      <c r="AU54" s="434"/>
      <c r="AV54" s="1331"/>
      <c r="AW54" s="1332"/>
      <c r="AX54" s="1332"/>
      <c r="AY54" s="1333"/>
      <c r="AZ54" s="434"/>
      <c r="BA54" s="1269"/>
      <c r="BB54" s="1270"/>
      <c r="BC54" s="1270"/>
      <c r="BD54" s="1271"/>
      <c r="BE54" s="192"/>
      <c r="BF54" s="1468"/>
      <c r="BG54" s="1229"/>
      <c r="BH54" s="1229"/>
      <c r="BI54" s="1229"/>
      <c r="BJ54" s="1229"/>
      <c r="BK54" s="1229"/>
      <c r="BL54" s="1229"/>
      <c r="BM54" s="1229"/>
      <c r="BN54" s="1229"/>
      <c r="BO54" s="1229"/>
      <c r="BP54" s="1229"/>
      <c r="BQ54" s="1229"/>
      <c r="BR54" s="1229"/>
      <c r="BS54" s="1229"/>
      <c r="BT54" s="1229"/>
      <c r="BU54" s="1229"/>
      <c r="BV54" s="1229"/>
      <c r="BW54" s="1229"/>
      <c r="BX54" s="1229"/>
      <c r="BY54" s="1229"/>
      <c r="BZ54" s="1231"/>
      <c r="CA54" s="1231"/>
      <c r="CB54" s="1231"/>
      <c r="CC54" s="431"/>
      <c r="CD54" s="1203"/>
      <c r="CE54" s="1203"/>
      <c r="CF54" s="1203"/>
      <c r="CG54" s="1203"/>
      <c r="CH54" s="1204"/>
      <c r="CI54" s="1201"/>
      <c r="CJ54" s="1201"/>
      <c r="CK54" s="1201"/>
      <c r="CL54" s="1204"/>
      <c r="CM54" s="1219"/>
      <c r="CN54" s="1219"/>
      <c r="CO54" s="1219"/>
      <c r="CP54" s="1204"/>
      <c r="CQ54" s="1222"/>
      <c r="CR54" s="1222"/>
      <c r="CS54" s="1222"/>
      <c r="CT54" s="1222"/>
      <c r="CU54" s="1222"/>
      <c r="CV54" s="1222"/>
      <c r="CW54" s="1222"/>
      <c r="CX54" s="186">
        <f>CONCATENATE(IF(CX53&lt;&gt;0,CONCATENATE(IF(CX53&gt;0,"+",""),CX53,"Env."),""),IF(CY53&lt;&gt;0,CONCATENATE(IF(CY53&gt;0,"+",""),CY53,"Misc"),""),IF(CZ53&lt;&gt;0,CONCATENATE(IF(CZ53&gt;0,"+",""),CZ53,"Size"),""),IF(DA53&lt;&gt;0,CONCATENATE(IF(DA53&gt;0,"+",""),DA53,"Race"),""),IF(DB53&lt;&gt;0,CONCATENATE(IF(DB53&gt;0,"+",""),DB53,"Cmp."),""),IF(DC53&lt;&gt;0,CONCATENATE(IF(DC53&gt;0,"+",""),DC53),""),IF(DE53="-","",IF(DE53=0,"",CONCATENATE(DE53,"ACP"))))</f>
      </c>
      <c r="CY54" s="186"/>
      <c r="CZ54" s="186"/>
      <c r="DA54" s="186"/>
      <c r="DB54" s="186"/>
      <c r="DG54" s="192"/>
      <c r="DH54" s="1197"/>
      <c r="DI54" s="1194"/>
      <c r="DJ54" s="1688"/>
      <c r="DK54" s="1688"/>
    </row>
    <row r="55" spans="1:115" ht="10.5" customHeight="1" thickBot="1">
      <c r="A55" s="207">
        <f>M55+$AL$52+$AQ$52+$AV$52+$BA$52</f>
        <v>18</v>
      </c>
      <c r="B55" s="207">
        <f>IF(N55&lt;&gt;"",N55+$AL$52+$AQ$52+$AV$52+$BA$52,"")</f>
        <v>13</v>
      </c>
      <c r="C55" s="207">
        <f>IF(O55&lt;&gt;"",O55+$AL$52+$AQ$52+$AV$52+$BA$52,"")</f>
        <v>8</v>
      </c>
      <c r="D55" s="207">
        <f>IF(P55&lt;&gt;"",P55+$AL$52+$AQ$52+$AV$52+$BA$52,"")</f>
      </c>
      <c r="E55" s="208"/>
      <c r="F55" s="208"/>
      <c r="G55" s="208"/>
      <c r="H55" s="208"/>
      <c r="I55" s="208"/>
      <c r="J55" s="208"/>
      <c r="K55" s="208"/>
      <c r="L55" s="192"/>
      <c r="M55" s="463">
        <f>AB52</f>
        <v>11</v>
      </c>
      <c r="N55" s="464">
        <f>IF(OR(M55="",M55&lt;6),"",M55-5)</f>
        <v>6</v>
      </c>
      <c r="O55" s="464">
        <f>IF(OR(N55="",N55&lt;6),"",N55-5)</f>
        <v>1</v>
      </c>
      <c r="P55" s="464">
        <f>IF(OR(O55="",O55&lt;6),"",O55-5)</f>
      </c>
      <c r="Q55" s="465"/>
      <c r="R55" s="465"/>
      <c r="S55" s="462" t="s">
        <v>650</v>
      </c>
      <c r="T55" s="465"/>
      <c r="U55" s="465"/>
      <c r="V55" s="465"/>
      <c r="W55" s="465"/>
      <c r="X55" s="465"/>
      <c r="Y55" s="465"/>
      <c r="Z55" s="465"/>
      <c r="AA55" s="434"/>
      <c r="AB55" s="434"/>
      <c r="AC55" s="434"/>
      <c r="AD55" s="434"/>
      <c r="AE55" s="434"/>
      <c r="AF55" s="455" t="s">
        <v>622</v>
      </c>
      <c r="AG55" s="431"/>
      <c r="AH55" s="431"/>
      <c r="AI55" s="431"/>
      <c r="AJ55" s="431"/>
      <c r="AK55" s="1359" t="s">
        <v>671</v>
      </c>
      <c r="AL55" s="1359"/>
      <c r="AM55" s="1359"/>
      <c r="AN55" s="1359"/>
      <c r="AO55" s="1359"/>
      <c r="AP55" s="1359"/>
      <c r="AQ55" s="1366" t="s">
        <v>832</v>
      </c>
      <c r="AR55" s="1366"/>
      <c r="AS55" s="1366"/>
      <c r="AT55" s="1366"/>
      <c r="AU55" s="434"/>
      <c r="AV55" s="1366" t="s">
        <v>838</v>
      </c>
      <c r="AW55" s="1366"/>
      <c r="AX55" s="1366"/>
      <c r="AY55" s="1366"/>
      <c r="AZ55" s="434"/>
      <c r="BA55" s="1366" t="s">
        <v>839</v>
      </c>
      <c r="BB55" s="1366"/>
      <c r="BC55" s="1366"/>
      <c r="BD55" s="1366"/>
      <c r="BE55" s="192"/>
      <c r="BF55" s="1468">
        <f ca="1">INDIRECT(ADDRESS(ROW(BF55),111+$BF$28))</f>
        <v>14</v>
      </c>
      <c r="BG55" s="1228" t="str">
        <f>IF(BF55=60,"",INDEX('技能'!$B$12:$B$70,BF55))</f>
        <v>Heal</v>
      </c>
      <c r="BH55" s="1228"/>
      <c r="BI55" s="1228"/>
      <c r="BJ55" s="1228"/>
      <c r="BK55" s="1228"/>
      <c r="BL55" s="1228"/>
      <c r="BM55" s="1228"/>
      <c r="BN55" s="1228"/>
      <c r="BO55" s="1228"/>
      <c r="BP55" s="1228"/>
      <c r="BQ55" s="1228"/>
      <c r="BR55" s="1228"/>
      <c r="BS55" s="1228"/>
      <c r="BT55" s="1228"/>
      <c r="BU55" s="1228"/>
      <c r="BV55" s="1228"/>
      <c r="BW55" s="1228"/>
      <c r="BX55" s="1228"/>
      <c r="BY55" s="1228"/>
      <c r="BZ55" s="1230" t="str">
        <f>IF(BF55=60,"",INDEX('技能'!$D$12:$D$70,BF55))</f>
        <v>WIS</v>
      </c>
      <c r="CA55" s="1230"/>
      <c r="CB55" s="1230"/>
      <c r="CC55" s="431">
        <f>IF(BF55=60,"",IF(INDEX('技能'!$P$12:$P$70,BF55)=0,"*",""))</f>
      </c>
      <c r="CD55" s="1202">
        <f>IF(BF55=60,"",IF(BZ55="なし","-",INDEX('技能'!$E$12:$E$70,BF55)))</f>
        <v>0</v>
      </c>
      <c r="CE55" s="1202"/>
      <c r="CF55" s="1202"/>
      <c r="CG55" s="1202"/>
      <c r="CH55" s="1204" t="s">
        <v>213</v>
      </c>
      <c r="CI55" s="1227">
        <f>IF(BF55=60,"",IF(BZ55="なし","-",INDEX('技能'!$F$12:$F$70,BF55)))</f>
        <v>0</v>
      </c>
      <c r="CJ55" s="1227"/>
      <c r="CK55" s="1227"/>
      <c r="CL55" s="1204" t="s">
        <v>214</v>
      </c>
      <c r="CM55" s="1218">
        <f>IF(BF55=60,"",IF(INDEX('技能'!$G$12:$G$70,BF55)&lt;&gt;0,INDEX('技能'!$O$12:$O$70,BF55)&amp;"#",INDEX('技能'!$O$12:$O$70,BF55)))</f>
        <v>0</v>
      </c>
      <c r="CN55" s="1218"/>
      <c r="CO55" s="1218"/>
      <c r="CP55" s="1204"/>
      <c r="CQ55" s="1220">
        <f>IF(BF55=60,"",IF(LEN(CX56)&lt;=14,CX56,CONCATENATE(IF(SUM(CX55:DD55)&gt;=0,"+",""),SUM(CX55:DD55),"(Total)")))</f>
      </c>
      <c r="CR55" s="1221"/>
      <c r="CS55" s="1221"/>
      <c r="CT55" s="1221"/>
      <c r="CU55" s="1221"/>
      <c r="CV55" s="1221"/>
      <c r="CW55" s="1221"/>
      <c r="CX55" s="186">
        <f>INDEX('技能'!$J$12:$J$71,' 印刷'!BF55)</f>
        <v>0</v>
      </c>
      <c r="CY55" s="186">
        <f>INDEX('技能'!$K$12:$K$71,BF55)</f>
        <v>0</v>
      </c>
      <c r="CZ55" s="186">
        <f>INDEX('技能'!$L$12:$L$71,BF55)</f>
        <v>0</v>
      </c>
      <c r="DA55" s="186">
        <f>INDEX('技能'!$M$12:$M$71,BF55)</f>
        <v>0</v>
      </c>
      <c r="DB55" s="186">
        <f>INDEX('技能'!$I$12:$I$71,BF55)</f>
        <v>0</v>
      </c>
      <c r="DC55" s="186">
        <f>INDEX('技能'!$H$12:$H$71,BF55)</f>
        <v>0</v>
      </c>
      <c r="DD55" s="186">
        <f>INDEX('技能'!$G$12:$G$71,BF55)</f>
        <v>0</v>
      </c>
      <c r="DE55" s="186" t="str">
        <f>INDEX('技能'!$P$12:$P$71,BF55)</f>
        <v>-</v>
      </c>
      <c r="DF55" s="351" t="str">
        <f>INDEX('技能'!$N$12:$N$71,BF55)</f>
        <v>Yes</v>
      </c>
      <c r="DG55" s="192"/>
      <c r="DH55" s="1197">
        <v>14</v>
      </c>
      <c r="DI55" s="1194">
        <v>23</v>
      </c>
      <c r="DJ55" s="1688"/>
      <c r="DK55" s="1688"/>
    </row>
    <row r="56" spans="1:115" ht="10.5" customHeight="1" thickTop="1">
      <c r="A56" s="1168" t="s">
        <v>849</v>
      </c>
      <c r="B56" s="1168"/>
      <c r="C56" s="1168"/>
      <c r="D56" s="1168"/>
      <c r="E56" s="1168"/>
      <c r="F56" s="1168"/>
      <c r="G56" s="1168"/>
      <c r="H56" s="1168"/>
      <c r="I56" s="1168"/>
      <c r="J56" s="1168"/>
      <c r="K56" s="1168"/>
      <c r="L56" s="176"/>
      <c r="M56" s="1174" t="str">
        <f>IF(A59&gt;=0,"+","")&amp;A59&amp;IF(B59&lt;&gt;"","/"&amp;IF(B59&gt;=0,"+","")&amp;B59,"")&amp;IF(C59&lt;&gt;"","/"&amp;IF(C59&gt;=0,"+","")&amp;C59,"")&amp;IF(D59&lt;&gt;"","/"&amp;IF(D59&gt;=0,"+","")&amp;D59,"")</f>
        <v>+11/+6/+1</v>
      </c>
      <c r="N56" s="1296"/>
      <c r="O56" s="1296"/>
      <c r="P56" s="1296"/>
      <c r="Q56" s="1296"/>
      <c r="R56" s="1296"/>
      <c r="S56" s="1296"/>
      <c r="T56" s="1296"/>
      <c r="U56" s="1296"/>
      <c r="V56" s="1296"/>
      <c r="W56" s="1296"/>
      <c r="X56" s="1296"/>
      <c r="Y56" s="1296"/>
      <c r="Z56" s="1297"/>
      <c r="AA56" s="431"/>
      <c r="AB56" s="1570">
        <f>AU65</f>
        <v>11</v>
      </c>
      <c r="AC56" s="1571"/>
      <c r="AD56" s="1571"/>
      <c r="AE56" s="1571"/>
      <c r="AF56" s="1571"/>
      <c r="AG56" s="1571"/>
      <c r="AH56" s="1571"/>
      <c r="AI56" s="1571"/>
      <c r="AJ56" s="1572"/>
      <c r="AK56" s="434"/>
      <c r="AL56" s="1287">
        <f>M17</f>
        <v>0</v>
      </c>
      <c r="AM56" s="1288"/>
      <c r="AN56" s="1288"/>
      <c r="AO56" s="1289"/>
      <c r="AP56" s="434"/>
      <c r="AQ56" s="1469">
        <f>Y9</f>
        <v>0</v>
      </c>
      <c r="AR56" s="1470"/>
      <c r="AS56" s="1470"/>
      <c r="AT56" s="1471"/>
      <c r="AU56" s="434"/>
      <c r="AV56" s="1325"/>
      <c r="AW56" s="1326"/>
      <c r="AX56" s="1326"/>
      <c r="AY56" s="1327"/>
      <c r="AZ56" s="434"/>
      <c r="BA56" s="1263"/>
      <c r="BB56" s="1264"/>
      <c r="BC56" s="1264"/>
      <c r="BD56" s="1265"/>
      <c r="BE56" s="192"/>
      <c r="BF56" s="1468"/>
      <c r="BG56" s="1229"/>
      <c r="BH56" s="1229"/>
      <c r="BI56" s="1229"/>
      <c r="BJ56" s="1229"/>
      <c r="BK56" s="1229"/>
      <c r="BL56" s="1229"/>
      <c r="BM56" s="1229"/>
      <c r="BN56" s="1229"/>
      <c r="BO56" s="1229"/>
      <c r="BP56" s="1229"/>
      <c r="BQ56" s="1229"/>
      <c r="BR56" s="1229"/>
      <c r="BS56" s="1229"/>
      <c r="BT56" s="1229"/>
      <c r="BU56" s="1229"/>
      <c r="BV56" s="1229"/>
      <c r="BW56" s="1229"/>
      <c r="BX56" s="1229"/>
      <c r="BY56" s="1229"/>
      <c r="BZ56" s="1231"/>
      <c r="CA56" s="1231"/>
      <c r="CB56" s="1231"/>
      <c r="CC56" s="431"/>
      <c r="CD56" s="1203"/>
      <c r="CE56" s="1203"/>
      <c r="CF56" s="1203"/>
      <c r="CG56" s="1203"/>
      <c r="CH56" s="1204"/>
      <c r="CI56" s="1201"/>
      <c r="CJ56" s="1201"/>
      <c r="CK56" s="1201"/>
      <c r="CL56" s="1204"/>
      <c r="CM56" s="1219"/>
      <c r="CN56" s="1219"/>
      <c r="CO56" s="1219"/>
      <c r="CP56" s="1204"/>
      <c r="CQ56" s="1222"/>
      <c r="CR56" s="1222"/>
      <c r="CS56" s="1222"/>
      <c r="CT56" s="1222"/>
      <c r="CU56" s="1222"/>
      <c r="CV56" s="1222"/>
      <c r="CW56" s="1222"/>
      <c r="CX56" s="186">
        <f>CONCATENATE(IF(CX55&lt;&gt;0,CONCATENATE(IF(CX55&gt;0,"+",""),CX55,"Env."),""),IF(CY55&lt;&gt;0,CONCATENATE(IF(CY55&gt;0,"+",""),CY55,"Misc"),""),IF(CZ55&lt;&gt;0,CONCATENATE(IF(CZ55&gt;0,"+",""),CZ55,"Size"),""),IF(DA55&lt;&gt;0,CONCATENATE(IF(DA55&gt;0,"+",""),DA55,"Race"),""),IF(DB55&lt;&gt;0,CONCATENATE(IF(DB55&gt;0,"+",""),DB55,"Cmp."),""),IF(DC55&lt;&gt;0,CONCATENATE(IF(DC55&gt;0,"+",""),DC55),""),IF(DE55="-","",IF(DE55=0,"",CONCATENATE(DE55,"ACP"))))</f>
      </c>
      <c r="CY56" s="186"/>
      <c r="CZ56" s="186"/>
      <c r="DA56" s="186"/>
      <c r="DB56" s="186"/>
      <c r="DG56" s="192"/>
      <c r="DH56" s="1197"/>
      <c r="DI56" s="1194"/>
      <c r="DJ56" s="1688"/>
      <c r="DK56" s="1688"/>
    </row>
    <row r="57" spans="1:115" ht="10.5" customHeight="1">
      <c r="A57" s="1168"/>
      <c r="B57" s="1168"/>
      <c r="C57" s="1168"/>
      <c r="D57" s="1168"/>
      <c r="E57" s="1168"/>
      <c r="F57" s="1168"/>
      <c r="G57" s="1168"/>
      <c r="H57" s="1168"/>
      <c r="I57" s="1168"/>
      <c r="J57" s="1168"/>
      <c r="K57" s="1168"/>
      <c r="L57" s="176"/>
      <c r="M57" s="1298"/>
      <c r="N57" s="1299"/>
      <c r="O57" s="1299"/>
      <c r="P57" s="1299"/>
      <c r="Q57" s="1299"/>
      <c r="R57" s="1299"/>
      <c r="S57" s="1299"/>
      <c r="T57" s="1299"/>
      <c r="U57" s="1299"/>
      <c r="V57" s="1299"/>
      <c r="W57" s="1299"/>
      <c r="X57" s="1299"/>
      <c r="Y57" s="1299"/>
      <c r="Z57" s="1300"/>
      <c r="AA57" s="460" t="s">
        <v>677</v>
      </c>
      <c r="AB57" s="1573"/>
      <c r="AC57" s="1574"/>
      <c r="AD57" s="1574"/>
      <c r="AE57" s="1574"/>
      <c r="AF57" s="1574"/>
      <c r="AG57" s="1574"/>
      <c r="AH57" s="1574"/>
      <c r="AI57" s="1574"/>
      <c r="AJ57" s="1575"/>
      <c r="AK57" s="455" t="s">
        <v>678</v>
      </c>
      <c r="AL57" s="1290"/>
      <c r="AM57" s="1291"/>
      <c r="AN57" s="1291"/>
      <c r="AO57" s="1292"/>
      <c r="AP57" s="455" t="s">
        <v>678</v>
      </c>
      <c r="AQ57" s="1472"/>
      <c r="AR57" s="1276"/>
      <c r="AS57" s="1276"/>
      <c r="AT57" s="1473"/>
      <c r="AU57" s="455" t="s">
        <v>678</v>
      </c>
      <c r="AV57" s="1328"/>
      <c r="AW57" s="1329"/>
      <c r="AX57" s="1329"/>
      <c r="AY57" s="1330"/>
      <c r="AZ57" s="455" t="s">
        <v>678</v>
      </c>
      <c r="BA57" s="1266"/>
      <c r="BB57" s="1267"/>
      <c r="BC57" s="1267"/>
      <c r="BD57" s="1268"/>
      <c r="BE57" s="192"/>
      <c r="BF57" s="1468">
        <f ca="1">INDIRECT(ADDRESS(ROW(BF57),111+$BF$28))</f>
        <v>15</v>
      </c>
      <c r="BG57" s="1228" t="str">
        <f>IF(BF57=60,"",INDEX('技能'!$B$12:$B$70,BF57))</f>
        <v>Intimidate</v>
      </c>
      <c r="BH57" s="1228"/>
      <c r="BI57" s="1228"/>
      <c r="BJ57" s="1228"/>
      <c r="BK57" s="1228"/>
      <c r="BL57" s="1228"/>
      <c r="BM57" s="1228"/>
      <c r="BN57" s="1228"/>
      <c r="BO57" s="1228"/>
      <c r="BP57" s="1228"/>
      <c r="BQ57" s="1228"/>
      <c r="BR57" s="1228"/>
      <c r="BS57" s="1228"/>
      <c r="BT57" s="1228"/>
      <c r="BU57" s="1228"/>
      <c r="BV57" s="1228"/>
      <c r="BW57" s="1228"/>
      <c r="BX57" s="1228"/>
      <c r="BY57" s="1228"/>
      <c r="BZ57" s="1230" t="str">
        <f>IF(BF57=60,"",INDEX('技能'!$D$12:$D$70,BF57))</f>
        <v>CHA</v>
      </c>
      <c r="CA57" s="1230"/>
      <c r="CB57" s="1230"/>
      <c r="CC57" s="431">
        <f>IF(BF57=60,"",IF(INDEX('技能'!$P$12:$P$70,BF57)=0,"*",""))</f>
      </c>
      <c r="CD57" s="1202">
        <f>IF(BF57=60,"",IF(BZ57="なし","-",INDEX('技能'!$E$12:$E$70,BF57)))</f>
        <v>14</v>
      </c>
      <c r="CE57" s="1202"/>
      <c r="CF57" s="1202"/>
      <c r="CG57" s="1202"/>
      <c r="CH57" s="1204" t="s">
        <v>213</v>
      </c>
      <c r="CI57" s="1227">
        <f>IF(BF57=60,"",IF(BZ57="なし","-",INDEX('技能'!$F$12:$F$70,BF57)))</f>
        <v>0</v>
      </c>
      <c r="CJ57" s="1227"/>
      <c r="CK57" s="1227"/>
      <c r="CL57" s="1204" t="s">
        <v>214</v>
      </c>
      <c r="CM57" s="1218" t="str">
        <f>IF(BF57=60,"",IF(INDEX('技能'!$G$12:$G$70,BF57)&lt;&gt;0,INDEX('技能'!$O$12:$O$70,BF57)&amp;"#",INDEX('技能'!$O$12:$O$70,BF57)))</f>
        <v>11#</v>
      </c>
      <c r="CN57" s="1218"/>
      <c r="CO57" s="1218"/>
      <c r="CP57" s="1204"/>
      <c r="CQ57" s="1220">
        <f>IF(BF57=60,"",IF(LEN(CX58)&lt;=14,CX58,CONCATENATE(IF(SUM(CX57:DD57)&gt;=0,"+",""),SUM(CX57:DD57),"(Total)")))</f>
      </c>
      <c r="CR57" s="1221"/>
      <c r="CS57" s="1221"/>
      <c r="CT57" s="1221"/>
      <c r="CU57" s="1221"/>
      <c r="CV57" s="1221"/>
      <c r="CW57" s="1221"/>
      <c r="CX57" s="186">
        <f>INDEX('技能'!$J$12:$J$71,' 印刷'!BF57)</f>
        <v>0</v>
      </c>
      <c r="CY57" s="186">
        <f>INDEX('技能'!$K$12:$K$71,BF57)</f>
        <v>0</v>
      </c>
      <c r="CZ57" s="186">
        <f>INDEX('技能'!$L$12:$L$71,BF57)</f>
        <v>0</v>
      </c>
      <c r="DA57" s="186">
        <f>INDEX('技能'!$M$12:$M$71,BF57)</f>
        <v>0</v>
      </c>
      <c r="DB57" s="186">
        <f>INDEX('技能'!$I$12:$I$71,BF57)</f>
        <v>0</v>
      </c>
      <c r="DC57" s="186">
        <f>INDEX('技能'!$H$12:$H$71,BF57)</f>
        <v>0</v>
      </c>
      <c r="DD57" s="186">
        <f>INDEX('技能'!$G$12:$G$71,BF57)</f>
        <v>1</v>
      </c>
      <c r="DE57" s="186" t="str">
        <f>INDEX('技能'!$P$12:$P$71,BF57)</f>
        <v>-</v>
      </c>
      <c r="DF57" s="351" t="str">
        <f>INDEX('技能'!$N$12:$N$71,BF57)</f>
        <v>Yes</v>
      </c>
      <c r="DG57" s="192"/>
      <c r="DH57" s="1197">
        <v>15</v>
      </c>
      <c r="DI57" s="1194">
        <v>3</v>
      </c>
      <c r="DJ57" s="1688"/>
      <c r="DK57" s="1688"/>
    </row>
    <row r="58" spans="1:115" ht="10.5" customHeight="1" thickBot="1">
      <c r="A58" s="1169"/>
      <c r="B58" s="1169"/>
      <c r="C58" s="1169"/>
      <c r="D58" s="1169"/>
      <c r="E58" s="1169"/>
      <c r="F58" s="1169"/>
      <c r="G58" s="1169"/>
      <c r="H58" s="1169"/>
      <c r="I58" s="1169"/>
      <c r="J58" s="1169"/>
      <c r="K58" s="1169"/>
      <c r="L58" s="176"/>
      <c r="M58" s="1301"/>
      <c r="N58" s="1302"/>
      <c r="O58" s="1302"/>
      <c r="P58" s="1302"/>
      <c r="Q58" s="1302"/>
      <c r="R58" s="1302"/>
      <c r="S58" s="1302"/>
      <c r="T58" s="1302"/>
      <c r="U58" s="1302"/>
      <c r="V58" s="1302"/>
      <c r="W58" s="1302"/>
      <c r="X58" s="1302"/>
      <c r="Y58" s="1302"/>
      <c r="Z58" s="1303"/>
      <c r="AA58" s="431"/>
      <c r="AB58" s="1576"/>
      <c r="AC58" s="1577"/>
      <c r="AD58" s="1577"/>
      <c r="AE58" s="1577"/>
      <c r="AF58" s="1577"/>
      <c r="AG58" s="1577"/>
      <c r="AH58" s="1577"/>
      <c r="AI58" s="1577"/>
      <c r="AJ58" s="1578"/>
      <c r="AK58" s="431"/>
      <c r="AL58" s="1293"/>
      <c r="AM58" s="1294"/>
      <c r="AN58" s="1294"/>
      <c r="AO58" s="1295"/>
      <c r="AP58" s="434"/>
      <c r="AQ58" s="1474"/>
      <c r="AR58" s="1475"/>
      <c r="AS58" s="1475"/>
      <c r="AT58" s="1476"/>
      <c r="AU58" s="434"/>
      <c r="AV58" s="1331"/>
      <c r="AW58" s="1332"/>
      <c r="AX58" s="1332"/>
      <c r="AY58" s="1333"/>
      <c r="AZ58" s="434"/>
      <c r="BA58" s="1269"/>
      <c r="BB58" s="1270"/>
      <c r="BC58" s="1270"/>
      <c r="BD58" s="1271"/>
      <c r="BE58" s="192"/>
      <c r="BF58" s="1468"/>
      <c r="BG58" s="1229"/>
      <c r="BH58" s="1229"/>
      <c r="BI58" s="1229"/>
      <c r="BJ58" s="1229"/>
      <c r="BK58" s="1229"/>
      <c r="BL58" s="1229"/>
      <c r="BM58" s="1229"/>
      <c r="BN58" s="1229"/>
      <c r="BO58" s="1229"/>
      <c r="BP58" s="1229"/>
      <c r="BQ58" s="1229"/>
      <c r="BR58" s="1229"/>
      <c r="BS58" s="1229"/>
      <c r="BT58" s="1229"/>
      <c r="BU58" s="1229"/>
      <c r="BV58" s="1229"/>
      <c r="BW58" s="1229"/>
      <c r="BX58" s="1229"/>
      <c r="BY58" s="1229"/>
      <c r="BZ58" s="1231"/>
      <c r="CA58" s="1231"/>
      <c r="CB58" s="1231"/>
      <c r="CC58" s="431"/>
      <c r="CD58" s="1203"/>
      <c r="CE58" s="1203"/>
      <c r="CF58" s="1203"/>
      <c r="CG58" s="1203"/>
      <c r="CH58" s="1204"/>
      <c r="CI58" s="1201"/>
      <c r="CJ58" s="1201"/>
      <c r="CK58" s="1201"/>
      <c r="CL58" s="1204"/>
      <c r="CM58" s="1219"/>
      <c r="CN58" s="1219"/>
      <c r="CO58" s="1219"/>
      <c r="CP58" s="1204"/>
      <c r="CQ58" s="1222"/>
      <c r="CR58" s="1222"/>
      <c r="CS58" s="1222"/>
      <c r="CT58" s="1222"/>
      <c r="CU58" s="1222"/>
      <c r="CV58" s="1222"/>
      <c r="CW58" s="1222"/>
      <c r="CX58" s="186">
        <f>CONCATENATE(IF(CX57&lt;&gt;0,CONCATENATE(IF(CX57&gt;0,"+",""),CX57,"Env."),""),IF(CY57&lt;&gt;0,CONCATENATE(IF(CY57&gt;0,"+",""),CY57,"Misc"),""),IF(CZ57&lt;&gt;0,CONCATENATE(IF(CZ57&gt;0,"+",""),CZ57,"Size"),""),IF(DA57&lt;&gt;0,CONCATENATE(IF(DA57&gt;0,"+",""),DA57,"Race"),""),IF(DB57&lt;&gt;0,CONCATENATE(IF(DB57&gt;0,"+",""),DB57,"Cmp."),""),IF(DC57&lt;&gt;0,CONCATENATE(IF(DC57&gt;0,"+",""),DC57),""),IF(DE57="-","",IF(DE57=0,"",CONCATENATE(DE57,"ACP"))))</f>
      </c>
      <c r="CY58" s="186"/>
      <c r="CZ58" s="186"/>
      <c r="DA58" s="186"/>
      <c r="DB58" s="186"/>
      <c r="DG58" s="192"/>
      <c r="DH58" s="1197"/>
      <c r="DI58" s="1194"/>
      <c r="DJ58" s="1688"/>
      <c r="DK58" s="1688"/>
    </row>
    <row r="59" spans="1:115" ht="10.5" customHeight="1" thickBot="1">
      <c r="A59" s="209">
        <f>M55+$AL$56+$AQ$56+$AV$56+$BA$56</f>
        <v>11</v>
      </c>
      <c r="B59" s="209">
        <f>IF(N55&lt;&gt;"",N55+$AL$56+$AQ$56+$AV$56+$BA$56,"")</f>
        <v>6</v>
      </c>
      <c r="C59" s="209">
        <f>IF(O55&lt;&gt;"",O55+$AL$56+$AQ$56+$AV$56+$BA$56,"")</f>
        <v>1</v>
      </c>
      <c r="D59" s="210">
        <f>IF(P55&lt;&gt;"",P55+$AL$56+$AQ$56+$AV$56+$BA$56,"")</f>
      </c>
      <c r="E59" s="188"/>
      <c r="F59" s="188"/>
      <c r="G59" s="188"/>
      <c r="H59" s="188"/>
      <c r="I59" s="188"/>
      <c r="J59" s="188"/>
      <c r="K59" s="188"/>
      <c r="L59" s="188"/>
      <c r="M59" s="441"/>
      <c r="N59" s="434"/>
      <c r="O59" s="434"/>
      <c r="P59" s="434"/>
      <c r="Q59" s="431"/>
      <c r="R59" s="434"/>
      <c r="S59" s="462" t="s">
        <v>673</v>
      </c>
      <c r="T59" s="434"/>
      <c r="U59" s="434"/>
      <c r="V59" s="434"/>
      <c r="W59" s="434"/>
      <c r="X59" s="434"/>
      <c r="Y59" s="434"/>
      <c r="Z59" s="434"/>
      <c r="AA59" s="431"/>
      <c r="AB59" s="434"/>
      <c r="AC59" s="434"/>
      <c r="AD59" s="434"/>
      <c r="AE59" s="434"/>
      <c r="AF59" s="455" t="s">
        <v>681</v>
      </c>
      <c r="AG59" s="431"/>
      <c r="AH59" s="431"/>
      <c r="AI59" s="431"/>
      <c r="AJ59" s="431"/>
      <c r="AK59" s="1359" t="s">
        <v>834</v>
      </c>
      <c r="AL59" s="1359"/>
      <c r="AM59" s="1359"/>
      <c r="AN59" s="1359"/>
      <c r="AO59" s="1359"/>
      <c r="AP59" s="1359"/>
      <c r="AQ59" s="1366" t="s">
        <v>832</v>
      </c>
      <c r="AR59" s="1366"/>
      <c r="AS59" s="1366"/>
      <c r="AT59" s="1366"/>
      <c r="AU59" s="435"/>
      <c r="AV59" s="433"/>
      <c r="AW59" s="433"/>
      <c r="AX59" s="433"/>
      <c r="AY59" s="433"/>
      <c r="AZ59" s="435"/>
      <c r="BA59" s="433"/>
      <c r="BB59" s="433"/>
      <c r="BC59" s="433"/>
      <c r="BD59" s="433"/>
      <c r="BE59" s="192"/>
      <c r="BF59" s="1468">
        <f ca="1">INDIRECT(ADDRESS(ROW(BF59),111+$BF$28))</f>
        <v>16</v>
      </c>
      <c r="BG59" s="1228" t="str">
        <f>IF(BF59=60,"",INDEX('技能'!$B$12:$B$70,BF59))</f>
        <v>Knowledge: Arcana</v>
      </c>
      <c r="BH59" s="1228"/>
      <c r="BI59" s="1228"/>
      <c r="BJ59" s="1228"/>
      <c r="BK59" s="1228"/>
      <c r="BL59" s="1228"/>
      <c r="BM59" s="1228"/>
      <c r="BN59" s="1228"/>
      <c r="BO59" s="1228"/>
      <c r="BP59" s="1228"/>
      <c r="BQ59" s="1228"/>
      <c r="BR59" s="1228"/>
      <c r="BS59" s="1228"/>
      <c r="BT59" s="1228"/>
      <c r="BU59" s="1228"/>
      <c r="BV59" s="1228"/>
      <c r="BW59" s="1228"/>
      <c r="BX59" s="1228"/>
      <c r="BY59" s="1228"/>
      <c r="BZ59" s="1230" t="str">
        <f>IF(BF59=60,"",INDEX('技能'!$D$12:$D$70,BF59))</f>
        <v>INT</v>
      </c>
      <c r="CA59" s="1230"/>
      <c r="CB59" s="1230"/>
      <c r="CC59" s="431">
        <f>IF(BF59=60,"",IF(INDEX('技能'!$P$12:$P$70,BF59)=0,"*",""))</f>
      </c>
      <c r="CD59" s="1202" t="str">
        <f>IF(BF59=60,"",IF(BZ59="なし","-",INDEX('技能'!$E$12:$E$70,BF59)))</f>
        <v>-</v>
      </c>
      <c r="CE59" s="1202"/>
      <c r="CF59" s="1202"/>
      <c r="CG59" s="1202"/>
      <c r="CH59" s="1204" t="s">
        <v>213</v>
      </c>
      <c r="CI59" s="1227">
        <f>IF(BF59=60,"",IF(BZ59="なし","-",INDEX('技能'!$F$12:$F$70,BF59)))</f>
        <v>0</v>
      </c>
      <c r="CJ59" s="1227"/>
      <c r="CK59" s="1227"/>
      <c r="CL59" s="1204" t="s">
        <v>214</v>
      </c>
      <c r="CM59" s="1218">
        <f>IF(BF59=60,"",IF(INDEX('技能'!$G$12:$G$70,BF59)&lt;&gt;0,INDEX('技能'!$O$12:$O$70,BF59)&amp;"#",INDEX('技能'!$O$12:$O$70,BF59)))</f>
        <v>0</v>
      </c>
      <c r="CN59" s="1218"/>
      <c r="CO59" s="1218"/>
      <c r="CP59" s="1204"/>
      <c r="CQ59" s="1220">
        <f>IF(BF59=60,"",IF(LEN(CX60)&lt;=14,CX60,CONCATENATE(IF(SUM(CX59:DD59)&gt;=0,"+",""),SUM(CX59:DD59),"(Total)")))</f>
      </c>
      <c r="CR59" s="1221"/>
      <c r="CS59" s="1221"/>
      <c r="CT59" s="1221"/>
      <c r="CU59" s="1221"/>
      <c r="CV59" s="1221"/>
      <c r="CW59" s="1221"/>
      <c r="CX59" s="186">
        <f>INDEX('技能'!$J$12:$J$71,' 印刷'!BF59)</f>
        <v>0</v>
      </c>
      <c r="CY59" s="186">
        <f>INDEX('技能'!$K$12:$K$71,BF59)</f>
        <v>0</v>
      </c>
      <c r="CZ59" s="186">
        <f>INDEX('技能'!$L$12:$L$71,BF59)</f>
        <v>0</v>
      </c>
      <c r="DA59" s="186">
        <f>INDEX('技能'!$M$12:$M$71,BF59)</f>
        <v>0</v>
      </c>
      <c r="DB59" s="186">
        <f>INDEX('技能'!$I$12:$I$71,BF59)</f>
        <v>0</v>
      </c>
      <c r="DC59" s="186">
        <f>INDEX('技能'!$H$12:$H$71,BF59)</f>
        <v>0</v>
      </c>
      <c r="DD59" s="186">
        <f>INDEX('技能'!$G$12:$G$71,BF59)</f>
        <v>0</v>
      </c>
      <c r="DE59" s="186" t="str">
        <f>INDEX('技能'!$P$12:$P$71,BF59)</f>
        <v>-</v>
      </c>
      <c r="DF59" s="351" t="str">
        <f>INDEX('技能'!$N$12:$N$71,BF59)</f>
        <v>No</v>
      </c>
      <c r="DG59" s="192"/>
      <c r="DH59" s="1197">
        <v>16</v>
      </c>
      <c r="DI59" s="1194">
        <v>4</v>
      </c>
      <c r="DJ59" s="1688"/>
      <c r="DK59" s="1688"/>
    </row>
    <row r="60" spans="1:115" ht="10.5" customHeight="1">
      <c r="A60" s="1727" t="s">
        <v>859</v>
      </c>
      <c r="B60" s="1728"/>
      <c r="C60" s="1728"/>
      <c r="D60" s="1728"/>
      <c r="E60" s="1728"/>
      <c r="F60" s="1728"/>
      <c r="G60" s="1728"/>
      <c r="H60" s="1728"/>
      <c r="I60" s="1728"/>
      <c r="J60" s="1728"/>
      <c r="K60" s="1728"/>
      <c r="M60" s="1731">
        <f>'能力'!$J$81</f>
        <v>18</v>
      </c>
      <c r="N60" s="1732"/>
      <c r="O60" s="1732"/>
      <c r="P60" s="1732"/>
      <c r="Q60" s="1733"/>
      <c r="R60" s="1733"/>
      <c r="S60" s="1733"/>
      <c r="T60" s="1733"/>
      <c r="U60" s="1733"/>
      <c r="V60" s="1733"/>
      <c r="W60" s="1733"/>
      <c r="X60" s="1733"/>
      <c r="Y60" s="1733"/>
      <c r="Z60" s="1734"/>
      <c r="AA60" s="431"/>
      <c r="AB60" s="1585">
        <f>IF(INDEX('能力'!$M$81:$M$93,J63)="","―",INDEX('能力'!$M$81:$M$93,J63))</f>
        <v>11</v>
      </c>
      <c r="AC60" s="1586"/>
      <c r="AD60" s="1586"/>
      <c r="AE60" s="1586"/>
      <c r="AF60" s="1413"/>
      <c r="AG60" s="1413"/>
      <c r="AH60" s="1413"/>
      <c r="AI60" s="1413"/>
      <c r="AJ60" s="1414"/>
      <c r="AK60" s="433"/>
      <c r="AL60" s="1585">
        <f>IF(INDEX('能力'!$O$81:$O$93,J63)="","―",IF(INDEX('能力'!$Q$81:$Q$93,J63)="",'能力'!$L$18,IF('能力'!$L$18&gt;'能力'!$L$19,'能力'!$L$18,'能力'!$L$19)))</f>
        <v>7</v>
      </c>
      <c r="AM60" s="1586"/>
      <c r="AN60" s="1586"/>
      <c r="AO60" s="1587"/>
      <c r="AP60" s="433"/>
      <c r="AQ60" s="1469">
        <f>Y13</f>
        <v>0</v>
      </c>
      <c r="AR60" s="1470"/>
      <c r="AS60" s="1470"/>
      <c r="AT60" s="1471"/>
      <c r="AU60" s="435"/>
      <c r="AV60" s="433"/>
      <c r="AW60" s="433"/>
      <c r="AX60" s="433"/>
      <c r="AY60" s="433"/>
      <c r="AZ60" s="435"/>
      <c r="BA60" s="433"/>
      <c r="BB60" s="433"/>
      <c r="BC60" s="433"/>
      <c r="BD60" s="433"/>
      <c r="BE60" s="192"/>
      <c r="BF60" s="1468"/>
      <c r="BG60" s="1229"/>
      <c r="BH60" s="1229"/>
      <c r="BI60" s="1229"/>
      <c r="BJ60" s="1229"/>
      <c r="BK60" s="1229"/>
      <c r="BL60" s="1229"/>
      <c r="BM60" s="1229"/>
      <c r="BN60" s="1229"/>
      <c r="BO60" s="1229"/>
      <c r="BP60" s="1229"/>
      <c r="BQ60" s="1229"/>
      <c r="BR60" s="1229"/>
      <c r="BS60" s="1229"/>
      <c r="BT60" s="1229"/>
      <c r="BU60" s="1229"/>
      <c r="BV60" s="1229"/>
      <c r="BW60" s="1229"/>
      <c r="BX60" s="1229"/>
      <c r="BY60" s="1229"/>
      <c r="BZ60" s="1231"/>
      <c r="CA60" s="1231"/>
      <c r="CB60" s="1231"/>
      <c r="CC60" s="431"/>
      <c r="CD60" s="1203"/>
      <c r="CE60" s="1203"/>
      <c r="CF60" s="1203"/>
      <c r="CG60" s="1203"/>
      <c r="CH60" s="1204"/>
      <c r="CI60" s="1201"/>
      <c r="CJ60" s="1201"/>
      <c r="CK60" s="1201"/>
      <c r="CL60" s="1204"/>
      <c r="CM60" s="1219"/>
      <c r="CN60" s="1219"/>
      <c r="CO60" s="1219"/>
      <c r="CP60" s="1204"/>
      <c r="CQ60" s="1222"/>
      <c r="CR60" s="1222"/>
      <c r="CS60" s="1222"/>
      <c r="CT60" s="1222"/>
      <c r="CU60" s="1222"/>
      <c r="CV60" s="1222"/>
      <c r="CW60" s="1222"/>
      <c r="CX60" s="186">
        <f>CONCATENATE(IF(CX59&lt;&gt;0,CONCATENATE(IF(CX59&gt;0,"+",""),CX59,"Env."),""),IF(CY59&lt;&gt;0,CONCATENATE(IF(CY59&gt;0,"+",""),CY59,"Misc"),""),IF(CZ59&lt;&gt;0,CONCATENATE(IF(CZ59&gt;0,"+",""),CZ59,"Size"),""),IF(DA59&lt;&gt;0,CONCATENATE(IF(DA59&gt;0,"+",""),DA59,"Race"),""),IF(DB59&lt;&gt;0,CONCATENATE(IF(DB59&gt;0,"+",""),DB59,"Cmp."),""),IF(DC59&lt;&gt;0,CONCATENATE(IF(DC59&gt;0,"+",""),DC59),""),IF(DE59="-","",IF(DE59=0,"",CONCATENATE(DE59,"ACP"))))</f>
      </c>
      <c r="CY60" s="186"/>
      <c r="CZ60" s="186"/>
      <c r="DA60" s="186"/>
      <c r="DB60" s="186"/>
      <c r="DG60" s="192"/>
      <c r="DH60" s="1197"/>
      <c r="DI60" s="1194"/>
      <c r="DJ60" s="1688"/>
      <c r="DK60" s="1688"/>
    </row>
    <row r="61" spans="1:115" ht="10.5" customHeight="1">
      <c r="A61" s="1728"/>
      <c r="B61" s="1728"/>
      <c r="C61" s="1728"/>
      <c r="D61" s="1728"/>
      <c r="E61" s="1728"/>
      <c r="F61" s="1728"/>
      <c r="G61" s="1728"/>
      <c r="H61" s="1728"/>
      <c r="I61" s="1728"/>
      <c r="J61" s="1728"/>
      <c r="K61" s="1728"/>
      <c r="L61" s="198"/>
      <c r="M61" s="1735"/>
      <c r="N61" s="1736"/>
      <c r="O61" s="1736"/>
      <c r="P61" s="1736"/>
      <c r="Q61" s="1737"/>
      <c r="R61" s="1737"/>
      <c r="S61" s="1737"/>
      <c r="T61" s="1737"/>
      <c r="U61" s="1737"/>
      <c r="V61" s="1737"/>
      <c r="W61" s="1737"/>
      <c r="X61" s="1737"/>
      <c r="Y61" s="1737"/>
      <c r="Z61" s="1738"/>
      <c r="AA61" s="532" t="s">
        <v>833</v>
      </c>
      <c r="AB61" s="1588"/>
      <c r="AC61" s="1589"/>
      <c r="AD61" s="1589"/>
      <c r="AE61" s="1589"/>
      <c r="AF61" s="1416"/>
      <c r="AG61" s="1416"/>
      <c r="AH61" s="1416"/>
      <c r="AI61" s="1416"/>
      <c r="AJ61" s="1417"/>
      <c r="AK61" s="532" t="s">
        <v>218</v>
      </c>
      <c r="AL61" s="1588"/>
      <c r="AM61" s="1589"/>
      <c r="AN61" s="1589"/>
      <c r="AO61" s="1590"/>
      <c r="AP61" s="532" t="s">
        <v>218</v>
      </c>
      <c r="AQ61" s="1472"/>
      <c r="AR61" s="1276"/>
      <c r="AS61" s="1276"/>
      <c r="AT61" s="1473"/>
      <c r="AU61" s="441"/>
      <c r="AV61" s="441"/>
      <c r="AW61" s="441"/>
      <c r="AX61" s="441"/>
      <c r="AY61" s="441"/>
      <c r="AZ61" s="441"/>
      <c r="BA61" s="441"/>
      <c r="BB61" s="441"/>
      <c r="BC61" s="441"/>
      <c r="BD61" s="441"/>
      <c r="BE61" s="192"/>
      <c r="BF61" s="1468">
        <f ca="1">INDIRECT(ADDRESS(ROW(BF61),111+$BF$28))</f>
        <v>17</v>
      </c>
      <c r="BG61" s="1228" t="str">
        <f>IF(BF61=60,"",INDEX('技能'!$B$12:$B$70,BF61))</f>
        <v>Knowledge: Dungeoneering</v>
      </c>
      <c r="BH61" s="1228"/>
      <c r="BI61" s="1228"/>
      <c r="BJ61" s="1228"/>
      <c r="BK61" s="1228"/>
      <c r="BL61" s="1228"/>
      <c r="BM61" s="1228"/>
      <c r="BN61" s="1228"/>
      <c r="BO61" s="1228"/>
      <c r="BP61" s="1228"/>
      <c r="BQ61" s="1228"/>
      <c r="BR61" s="1228"/>
      <c r="BS61" s="1228"/>
      <c r="BT61" s="1228"/>
      <c r="BU61" s="1228"/>
      <c r="BV61" s="1228"/>
      <c r="BW61" s="1228"/>
      <c r="BX61" s="1228"/>
      <c r="BY61" s="1228"/>
      <c r="BZ61" s="1230" t="str">
        <f>IF(BF61=60,"",INDEX('技能'!$D$12:$D$70,BF61))</f>
        <v>INT</v>
      </c>
      <c r="CA61" s="1230"/>
      <c r="CB61" s="1230"/>
      <c r="CC61" s="431">
        <f>IF(BF61=60,"",IF(INDEX('技能'!$P$12:$P$70,BF61)=0,"*",""))</f>
      </c>
      <c r="CD61" s="1202" t="str">
        <f>IF(BF61=60,"",IF(BZ61="なし","-",INDEX('技能'!$E$12:$E$70,BF61)))</f>
        <v>-</v>
      </c>
      <c r="CE61" s="1202"/>
      <c r="CF61" s="1202"/>
      <c r="CG61" s="1202"/>
      <c r="CH61" s="1204" t="s">
        <v>213</v>
      </c>
      <c r="CI61" s="1227">
        <f>IF(BF61=60,"",IF(BZ61="なし","-",INDEX('技能'!$F$12:$F$70,BF61)))</f>
        <v>0</v>
      </c>
      <c r="CJ61" s="1227"/>
      <c r="CK61" s="1227"/>
      <c r="CL61" s="1204" t="s">
        <v>214</v>
      </c>
      <c r="CM61" s="1218">
        <f>IF(BF61=60,"",IF(INDEX('技能'!$G$12:$G$70,BF61)&lt;&gt;0,INDEX('技能'!$O$12:$O$70,BF61)&amp;"#",INDEX('技能'!$O$12:$O$70,BF61)))</f>
        <v>0</v>
      </c>
      <c r="CN61" s="1218"/>
      <c r="CO61" s="1218"/>
      <c r="CP61" s="1204"/>
      <c r="CQ61" s="1220">
        <f>IF(BF61=60,"",IF(LEN(CX62)&lt;=14,CX62,CONCATENATE(IF(SUM(CX61:DD61)&gt;=0,"+",""),SUM(CX61:DD61),"(Total)")))</f>
      </c>
      <c r="CR61" s="1221"/>
      <c r="CS61" s="1221"/>
      <c r="CT61" s="1221"/>
      <c r="CU61" s="1221"/>
      <c r="CV61" s="1221"/>
      <c r="CW61" s="1221"/>
      <c r="CX61" s="186">
        <f>INDEX('技能'!$J$12:$J$71,' 印刷'!BF61)</f>
        <v>0</v>
      </c>
      <c r="CY61" s="186">
        <f>INDEX('技能'!$K$12:$K$71,BF61)</f>
        <v>0</v>
      </c>
      <c r="CZ61" s="186">
        <f>INDEX('技能'!$L$12:$L$71,BF61)</f>
        <v>0</v>
      </c>
      <c r="DA61" s="186">
        <f>INDEX('技能'!$M$12:$M$71,BF61)</f>
        <v>0</v>
      </c>
      <c r="DB61" s="186">
        <f>INDEX('技能'!$I$12:$I$71,BF61)</f>
        <v>0</v>
      </c>
      <c r="DC61" s="186">
        <f>INDEX('技能'!$H$12:$H$71,BF61)</f>
        <v>0</v>
      </c>
      <c r="DD61" s="186">
        <f>INDEX('技能'!$G$12:$G$71,BF61)</f>
        <v>0</v>
      </c>
      <c r="DE61" s="186" t="str">
        <f>INDEX('技能'!$P$12:$P$71,BF61)</f>
        <v>-</v>
      </c>
      <c r="DF61" s="351" t="str">
        <f>INDEX('技能'!$N$12:$N$71,BF61)</f>
        <v>No</v>
      </c>
      <c r="DG61" s="192"/>
      <c r="DH61" s="1197">
        <v>17</v>
      </c>
      <c r="DI61" s="1194">
        <v>9</v>
      </c>
      <c r="DJ61" s="1688"/>
      <c r="DK61" s="1688"/>
    </row>
    <row r="62" spans="1:115" ht="10.5" customHeight="1" thickBot="1">
      <c r="A62" s="1728"/>
      <c r="B62" s="1728"/>
      <c r="C62" s="1728"/>
      <c r="D62" s="1728"/>
      <c r="E62" s="1728"/>
      <c r="F62" s="1728"/>
      <c r="G62" s="1728"/>
      <c r="H62" s="1728"/>
      <c r="I62" s="1728"/>
      <c r="J62" s="1728"/>
      <c r="K62" s="1728"/>
      <c r="L62" s="179"/>
      <c r="M62" s="1739"/>
      <c r="N62" s="1740"/>
      <c r="O62" s="1740"/>
      <c r="P62" s="1740"/>
      <c r="Q62" s="1741"/>
      <c r="R62" s="1741"/>
      <c r="S62" s="1741"/>
      <c r="T62" s="1741"/>
      <c r="U62" s="1741"/>
      <c r="V62" s="1741"/>
      <c r="W62" s="1741"/>
      <c r="X62" s="1741"/>
      <c r="Y62" s="1741"/>
      <c r="Z62" s="1742"/>
      <c r="AB62" s="1591"/>
      <c r="AC62" s="1592"/>
      <c r="AD62" s="1592"/>
      <c r="AE62" s="1592"/>
      <c r="AF62" s="1419"/>
      <c r="AG62" s="1419"/>
      <c r="AH62" s="1419"/>
      <c r="AI62" s="1419"/>
      <c r="AJ62" s="1420"/>
      <c r="AL62" s="1591"/>
      <c r="AM62" s="1592"/>
      <c r="AN62" s="1592"/>
      <c r="AO62" s="1593"/>
      <c r="AQ62" s="1474"/>
      <c r="AR62" s="1475"/>
      <c r="AS62" s="1475"/>
      <c r="AT62" s="1476"/>
      <c r="AU62" s="441"/>
      <c r="AV62" s="441"/>
      <c r="AW62" s="441"/>
      <c r="AX62" s="441"/>
      <c r="AY62" s="441"/>
      <c r="AZ62" s="441"/>
      <c r="BA62" s="441"/>
      <c r="BB62" s="441"/>
      <c r="BC62" s="441"/>
      <c r="BD62" s="441"/>
      <c r="BE62" s="192"/>
      <c r="BF62" s="1468"/>
      <c r="BG62" s="1229"/>
      <c r="BH62" s="1229"/>
      <c r="BI62" s="1229"/>
      <c r="BJ62" s="1229"/>
      <c r="BK62" s="1229"/>
      <c r="BL62" s="1229"/>
      <c r="BM62" s="1229"/>
      <c r="BN62" s="1229"/>
      <c r="BO62" s="1229"/>
      <c r="BP62" s="1229"/>
      <c r="BQ62" s="1229"/>
      <c r="BR62" s="1229"/>
      <c r="BS62" s="1229"/>
      <c r="BT62" s="1229"/>
      <c r="BU62" s="1229"/>
      <c r="BV62" s="1229"/>
      <c r="BW62" s="1229"/>
      <c r="BX62" s="1229"/>
      <c r="BY62" s="1229"/>
      <c r="BZ62" s="1231"/>
      <c r="CA62" s="1231"/>
      <c r="CB62" s="1231"/>
      <c r="CC62" s="431"/>
      <c r="CD62" s="1203"/>
      <c r="CE62" s="1203"/>
      <c r="CF62" s="1203"/>
      <c r="CG62" s="1203"/>
      <c r="CH62" s="1204"/>
      <c r="CI62" s="1201"/>
      <c r="CJ62" s="1201"/>
      <c r="CK62" s="1201"/>
      <c r="CL62" s="1204"/>
      <c r="CM62" s="1219"/>
      <c r="CN62" s="1219"/>
      <c r="CO62" s="1219"/>
      <c r="CP62" s="1204"/>
      <c r="CQ62" s="1222"/>
      <c r="CR62" s="1222"/>
      <c r="CS62" s="1222"/>
      <c r="CT62" s="1222"/>
      <c r="CU62" s="1222"/>
      <c r="CV62" s="1222"/>
      <c r="CW62" s="1222"/>
      <c r="CX62" s="186">
        <f>CONCATENATE(IF(CX61&lt;&gt;0,CONCATENATE(IF(CX61&gt;0,"+",""),CX61,"Env."),""),IF(CY61&lt;&gt;0,CONCATENATE(IF(CY61&gt;0,"+",""),CY61,"Misc"),""),IF(CZ61&lt;&gt;0,CONCATENATE(IF(CZ61&gt;0,"+",""),CZ61,"Size"),""),IF(DA61&lt;&gt;0,CONCATENATE(IF(DA61&gt;0,"+",""),DA61,"Race"),""),IF(DB61&lt;&gt;0,CONCATENATE(IF(DB61&gt;0,"+",""),DB61,"Cmp."),""),IF(DC61&lt;&gt;0,CONCATENATE(IF(DC61&gt;0,"+",""),DC61),""),IF(DE61="-","",IF(DE61=0,"",CONCATENATE(DE61,"ACP"))))</f>
      </c>
      <c r="CY62" s="186"/>
      <c r="CZ62" s="186"/>
      <c r="DA62" s="186"/>
      <c r="DB62" s="186"/>
      <c r="DG62" s="192"/>
      <c r="DH62" s="1197"/>
      <c r="DI62" s="1194"/>
      <c r="DJ62" s="1688"/>
      <c r="DK62" s="1688"/>
    </row>
    <row r="63" spans="1:115" ht="10.5" customHeight="1">
      <c r="A63" s="346"/>
      <c r="B63" s="346"/>
      <c r="C63" s="346"/>
      <c r="D63" s="346"/>
      <c r="E63" s="346"/>
      <c r="F63" s="346"/>
      <c r="G63" s="346"/>
      <c r="H63" s="346"/>
      <c r="I63" s="346"/>
      <c r="J63" s="198">
        <v>1</v>
      </c>
      <c r="K63" s="346"/>
      <c r="L63" s="346"/>
      <c r="M63" s="346"/>
      <c r="N63" s="346"/>
      <c r="O63" s="346"/>
      <c r="P63" s="346"/>
      <c r="Q63" s="346"/>
      <c r="R63" s="346"/>
      <c r="S63" s="536"/>
      <c r="T63" s="346"/>
      <c r="U63" s="346"/>
      <c r="V63" s="346"/>
      <c r="W63" s="346"/>
      <c r="X63" s="346"/>
      <c r="Y63" s="431"/>
      <c r="Z63" s="533"/>
      <c r="AA63" s="526"/>
      <c r="AB63" s="526"/>
      <c r="AC63" s="526"/>
      <c r="AD63" s="467"/>
      <c r="AE63" s="526"/>
      <c r="AF63" s="526"/>
      <c r="AG63" s="526"/>
      <c r="AH63" s="526"/>
      <c r="AI63" s="467"/>
      <c r="AJ63" s="526"/>
      <c r="AK63" s="526"/>
      <c r="AL63" s="377"/>
      <c r="AM63" s="377"/>
      <c r="AN63" s="377"/>
      <c r="AO63" s="377"/>
      <c r="AP63" s="377"/>
      <c r="AQ63" s="534"/>
      <c r="AR63" s="535"/>
      <c r="AS63" s="535"/>
      <c r="AT63" s="537"/>
      <c r="AU63" s="1598" t="s">
        <v>871</v>
      </c>
      <c r="AV63" s="1599"/>
      <c r="AW63" s="1599"/>
      <c r="AX63" s="1599"/>
      <c r="AY63" s="1599"/>
      <c r="AZ63" s="1599"/>
      <c r="BA63" s="1599"/>
      <c r="BB63" s="1599"/>
      <c r="BC63" s="1599"/>
      <c r="BD63" s="1599"/>
      <c r="BE63" s="192"/>
      <c r="BF63" s="1468">
        <f ca="1">INDIRECT(ADDRESS(ROW(BF63),111+$BF$28))</f>
        <v>18</v>
      </c>
      <c r="BG63" s="1228" t="str">
        <f>IF(BF63=60,"",INDEX('技能'!$B$12:$B$70,BF63))</f>
        <v>Knowledge: Engineering</v>
      </c>
      <c r="BH63" s="1228"/>
      <c r="BI63" s="1228"/>
      <c r="BJ63" s="1228"/>
      <c r="BK63" s="1228"/>
      <c r="BL63" s="1228"/>
      <c r="BM63" s="1228"/>
      <c r="BN63" s="1228"/>
      <c r="BO63" s="1228"/>
      <c r="BP63" s="1228"/>
      <c r="BQ63" s="1228"/>
      <c r="BR63" s="1228"/>
      <c r="BS63" s="1228"/>
      <c r="BT63" s="1228"/>
      <c r="BU63" s="1228"/>
      <c r="BV63" s="1228"/>
      <c r="BW63" s="1228"/>
      <c r="BX63" s="1228"/>
      <c r="BY63" s="1228"/>
      <c r="BZ63" s="1230" t="str">
        <f>IF(BF63=60,"",INDEX('技能'!$D$12:$D$70,BF63))</f>
        <v>INT</v>
      </c>
      <c r="CA63" s="1230"/>
      <c r="CB63" s="1230"/>
      <c r="CC63" s="431">
        <f>IF(BF63=60,"",IF(INDEX('技能'!$P$12:$P$70,BF63)=0,"*",""))</f>
      </c>
      <c r="CD63" s="1202" t="str">
        <f>IF(BF63=60,"",IF(BZ63="なし","-",INDEX('技能'!$E$12:$E$70,BF63)))</f>
        <v>-</v>
      </c>
      <c r="CE63" s="1202"/>
      <c r="CF63" s="1202"/>
      <c r="CG63" s="1202"/>
      <c r="CH63" s="1204" t="s">
        <v>213</v>
      </c>
      <c r="CI63" s="1227">
        <f>IF(BF63=60,"",IF(BZ63="なし","-",INDEX('技能'!$F$12:$F$70,BF63)))</f>
        <v>0</v>
      </c>
      <c r="CJ63" s="1227"/>
      <c r="CK63" s="1227"/>
      <c r="CL63" s="1204" t="s">
        <v>214</v>
      </c>
      <c r="CM63" s="1218">
        <f>IF(BF63=60,"",IF(INDEX('技能'!$G$12:$G$70,BF63)&lt;&gt;0,INDEX('技能'!$O$12:$O$70,BF63)&amp;"#",INDEX('技能'!$O$12:$O$70,BF63)))</f>
        <v>0</v>
      </c>
      <c r="CN63" s="1218"/>
      <c r="CO63" s="1218"/>
      <c r="CP63" s="1204"/>
      <c r="CQ63" s="1220">
        <f>IF(BF63=60,"",IF(LEN(CX64)&lt;=14,CX64,CONCATENATE(IF(SUM(CX63:DD63)&gt;=0,"+",""),SUM(CX63:DD63),"(Total)")))</f>
      </c>
      <c r="CR63" s="1221"/>
      <c r="CS63" s="1221"/>
      <c r="CT63" s="1221"/>
      <c r="CU63" s="1221"/>
      <c r="CV63" s="1221"/>
      <c r="CW63" s="1221"/>
      <c r="CX63" s="186">
        <f>INDEX('技能'!$J$12:$J$71,' 印刷'!BF63)</f>
        <v>0</v>
      </c>
      <c r="CY63" s="186">
        <f>INDEX('技能'!$K$12:$K$71,BF63)</f>
        <v>0</v>
      </c>
      <c r="CZ63" s="186">
        <f>INDEX('技能'!$L$12:$L$71,BF63)</f>
        <v>0</v>
      </c>
      <c r="DA63" s="186">
        <f>INDEX('技能'!$M$12:$M$71,BF63)</f>
        <v>0</v>
      </c>
      <c r="DB63" s="186">
        <f>INDEX('技能'!$I$12:$I$71,BF63)</f>
        <v>0</v>
      </c>
      <c r="DC63" s="186">
        <f>INDEX('技能'!$H$12:$H$71,BF63)</f>
        <v>0</v>
      </c>
      <c r="DD63" s="186">
        <f>INDEX('技能'!$G$12:$G$71,BF63)</f>
        <v>0</v>
      </c>
      <c r="DE63" s="186" t="str">
        <f>INDEX('技能'!$P$12:$P$71,BF63)</f>
        <v>-</v>
      </c>
      <c r="DF63" s="351" t="str">
        <f>INDEX('技能'!$N$12:$N$71,BF63)</f>
        <v>No</v>
      </c>
      <c r="DG63" s="192"/>
      <c r="DH63" s="1197">
        <v>18</v>
      </c>
      <c r="DI63" s="1194">
        <v>18</v>
      </c>
      <c r="DJ63" s="1688"/>
      <c r="DK63" s="1688"/>
    </row>
    <row r="64" spans="1:115" ht="10.5" customHeight="1" thickBot="1">
      <c r="A64" s="431"/>
      <c r="B64" s="431"/>
      <c r="C64" s="431"/>
      <c r="D64" s="431"/>
      <c r="E64" s="431"/>
      <c r="F64" s="431"/>
      <c r="G64" s="431"/>
      <c r="H64" s="431"/>
      <c r="I64" s="431"/>
      <c r="J64" s="431"/>
      <c r="K64" s="1596" t="s">
        <v>837</v>
      </c>
      <c r="L64" s="1596"/>
      <c r="M64" s="1596"/>
      <c r="N64" s="1596"/>
      <c r="O64" s="431"/>
      <c r="P64" s="1594" t="s">
        <v>835</v>
      </c>
      <c r="Q64" s="1594"/>
      <c r="R64" s="1594"/>
      <c r="S64" s="1594"/>
      <c r="T64" s="431"/>
      <c r="U64" s="1594" t="s">
        <v>836</v>
      </c>
      <c r="V64" s="1594"/>
      <c r="W64" s="1594"/>
      <c r="X64" s="1594"/>
      <c r="Y64" s="455"/>
      <c r="Z64" s="1477" t="s">
        <v>680</v>
      </c>
      <c r="AA64" s="1478"/>
      <c r="AB64" s="1478"/>
      <c r="AC64" s="1478"/>
      <c r="AD64" s="467"/>
      <c r="AE64" s="1477" t="s">
        <v>682</v>
      </c>
      <c r="AF64" s="1478"/>
      <c r="AG64" s="1478"/>
      <c r="AH64" s="1478"/>
      <c r="AI64" s="467"/>
      <c r="AJ64" s="1477" t="s">
        <v>891</v>
      </c>
      <c r="AK64" s="1478"/>
      <c r="AL64" s="1478"/>
      <c r="AM64" s="1478"/>
      <c r="AN64" s="441"/>
      <c r="AO64" s="1477" t="s">
        <v>669</v>
      </c>
      <c r="AP64" s="1478"/>
      <c r="AQ64" s="1478"/>
      <c r="AR64" s="1478"/>
      <c r="AU64" s="1598"/>
      <c r="AV64" s="1599"/>
      <c r="AW64" s="1599"/>
      <c r="AX64" s="1599"/>
      <c r="AY64" s="1599"/>
      <c r="AZ64" s="1599"/>
      <c r="BA64" s="1599"/>
      <c r="BB64" s="1599"/>
      <c r="BC64" s="1599"/>
      <c r="BD64" s="1599"/>
      <c r="BE64" s="192"/>
      <c r="BF64" s="1468"/>
      <c r="BG64" s="1229"/>
      <c r="BH64" s="1229"/>
      <c r="BI64" s="1229"/>
      <c r="BJ64" s="1229"/>
      <c r="BK64" s="1229"/>
      <c r="BL64" s="1229"/>
      <c r="BM64" s="1229"/>
      <c r="BN64" s="1229"/>
      <c r="BO64" s="1229"/>
      <c r="BP64" s="1229"/>
      <c r="BQ64" s="1229"/>
      <c r="BR64" s="1229"/>
      <c r="BS64" s="1229"/>
      <c r="BT64" s="1229"/>
      <c r="BU64" s="1229"/>
      <c r="BV64" s="1229"/>
      <c r="BW64" s="1229"/>
      <c r="BX64" s="1229"/>
      <c r="BY64" s="1229"/>
      <c r="BZ64" s="1231"/>
      <c r="CA64" s="1231"/>
      <c r="CB64" s="1231"/>
      <c r="CC64" s="431"/>
      <c r="CD64" s="1203"/>
      <c r="CE64" s="1203"/>
      <c r="CF64" s="1203"/>
      <c r="CG64" s="1203"/>
      <c r="CH64" s="1204"/>
      <c r="CI64" s="1201"/>
      <c r="CJ64" s="1201"/>
      <c r="CK64" s="1201"/>
      <c r="CL64" s="1204"/>
      <c r="CM64" s="1219"/>
      <c r="CN64" s="1219"/>
      <c r="CO64" s="1219"/>
      <c r="CP64" s="1204"/>
      <c r="CQ64" s="1222"/>
      <c r="CR64" s="1222"/>
      <c r="CS64" s="1222"/>
      <c r="CT64" s="1222"/>
      <c r="CU64" s="1222"/>
      <c r="CV64" s="1222"/>
      <c r="CW64" s="1222"/>
      <c r="CX64" s="186">
        <f>CONCATENATE(IF(CX63&lt;&gt;0,CONCATENATE(IF(CX63&gt;0,"+",""),CX63,"Env."),""),IF(CY63&lt;&gt;0,CONCATENATE(IF(CY63&gt;0,"+",""),CY63,"Misc"),""),IF(CZ63&lt;&gt;0,CONCATENATE(IF(CZ63&gt;0,"+",""),CZ63,"Size"),""),IF(DA63&lt;&gt;0,CONCATENATE(IF(DA63&gt;0,"+",""),DA63,"Race"),""),IF(DB63&lt;&gt;0,CONCATENATE(IF(DB63&gt;0,"+",""),DB63,"Cmp."),""),IF(DC63&lt;&gt;0,CONCATENATE(IF(DC63&gt;0,"+",""),DC63),""),IF(DE63="-","",IF(DE63=0,"",CONCATENATE(DE63,"ACP"))))</f>
      </c>
      <c r="CY64" s="186"/>
      <c r="CZ64" s="186"/>
      <c r="DA64" s="186"/>
      <c r="DB64" s="186"/>
      <c r="DG64" s="192"/>
      <c r="DH64" s="1197"/>
      <c r="DI64" s="1194"/>
      <c r="DJ64" s="1688"/>
      <c r="DK64" s="1688"/>
    </row>
    <row r="65" spans="1:115" ht="10.5" customHeight="1" thickBot="1">
      <c r="A65" s="431"/>
      <c r="B65" s="431"/>
      <c r="C65" s="431"/>
      <c r="D65" s="431"/>
      <c r="E65" s="431"/>
      <c r="F65" s="431"/>
      <c r="G65" s="431"/>
      <c r="H65" s="431"/>
      <c r="I65" s="431"/>
      <c r="J65" s="431"/>
      <c r="K65" s="1597"/>
      <c r="L65" s="1597"/>
      <c r="M65" s="1597"/>
      <c r="N65" s="1597"/>
      <c r="O65" s="431"/>
      <c r="P65" s="1595"/>
      <c r="Q65" s="1595"/>
      <c r="R65" s="1595"/>
      <c r="S65" s="1595"/>
      <c r="T65" s="431"/>
      <c r="U65" s="1595"/>
      <c r="V65" s="1595"/>
      <c r="W65" s="1595"/>
      <c r="X65" s="1595"/>
      <c r="Y65" s="431"/>
      <c r="Z65" s="1478"/>
      <c r="AA65" s="1478"/>
      <c r="AB65" s="1478"/>
      <c r="AC65" s="1478"/>
      <c r="AD65" s="435"/>
      <c r="AE65" s="1478"/>
      <c r="AF65" s="1478"/>
      <c r="AG65" s="1478"/>
      <c r="AH65" s="1478"/>
      <c r="AI65" s="435"/>
      <c r="AJ65" s="1478"/>
      <c r="AK65" s="1478"/>
      <c r="AL65" s="1478"/>
      <c r="AM65" s="1478"/>
      <c r="AN65" s="441"/>
      <c r="AO65" s="1478"/>
      <c r="AP65" s="1478"/>
      <c r="AQ65" s="1478"/>
      <c r="AR65" s="1478"/>
      <c r="AU65" s="1234">
        <f>'能力'!O32</f>
        <v>11</v>
      </c>
      <c r="AV65" s="1235"/>
      <c r="AW65" s="1235"/>
      <c r="AX65" s="1235"/>
      <c r="AY65" s="1235"/>
      <c r="AZ65" s="1235"/>
      <c r="BA65" s="1235"/>
      <c r="BB65" s="1235"/>
      <c r="BC65" s="1235"/>
      <c r="BD65" s="1236"/>
      <c r="BE65" s="192"/>
      <c r="BF65" s="1468">
        <f ca="1">INDIRECT(ADDRESS(ROW(BF65),111+$BF$28))</f>
        <v>19</v>
      </c>
      <c r="BG65" s="1228" t="str">
        <f>IF(BF65=60,"",INDEX('技能'!$B$12:$B$70,BF65))</f>
        <v>Knowledge: History</v>
      </c>
      <c r="BH65" s="1228"/>
      <c r="BI65" s="1228"/>
      <c r="BJ65" s="1228"/>
      <c r="BK65" s="1228"/>
      <c r="BL65" s="1228"/>
      <c r="BM65" s="1228"/>
      <c r="BN65" s="1228"/>
      <c r="BO65" s="1228"/>
      <c r="BP65" s="1228"/>
      <c r="BQ65" s="1228"/>
      <c r="BR65" s="1228"/>
      <c r="BS65" s="1228"/>
      <c r="BT65" s="1228"/>
      <c r="BU65" s="1228"/>
      <c r="BV65" s="1228"/>
      <c r="BW65" s="1228"/>
      <c r="BX65" s="1228"/>
      <c r="BY65" s="1228"/>
      <c r="BZ65" s="1230" t="str">
        <f>IF(BF65=60,"",INDEX('技能'!$D$12:$D$70,BF65))</f>
        <v>INT</v>
      </c>
      <c r="CA65" s="1230"/>
      <c r="CB65" s="1230"/>
      <c r="CC65" s="431">
        <f>IF(BF65=60,"",IF(INDEX('技能'!$P$12:$P$70,BF65)=0,"*",""))</f>
      </c>
      <c r="CD65" s="1202" t="str">
        <f>IF(BF65=60,"",IF(BZ65="なし","-",INDEX('技能'!$E$12:$E$70,BF65)))</f>
        <v>-</v>
      </c>
      <c r="CE65" s="1202"/>
      <c r="CF65" s="1202"/>
      <c r="CG65" s="1202"/>
      <c r="CH65" s="1204" t="s">
        <v>213</v>
      </c>
      <c r="CI65" s="1227">
        <f>IF(BF65=60,"",IF(BZ65="なし","-",INDEX('技能'!$F$12:$F$70,BF65)))</f>
        <v>0</v>
      </c>
      <c r="CJ65" s="1227"/>
      <c r="CK65" s="1227"/>
      <c r="CL65" s="1204" t="s">
        <v>214</v>
      </c>
      <c r="CM65" s="1218">
        <f>IF(BF65=60,"",IF(INDEX('技能'!$G$12:$G$70,BF65)&lt;&gt;0,INDEX('技能'!$O$12:$O$70,BF65)&amp;"#",INDEX('技能'!$O$12:$O$70,BF65)))</f>
        <v>0</v>
      </c>
      <c r="CN65" s="1218"/>
      <c r="CO65" s="1218"/>
      <c r="CP65" s="1204"/>
      <c r="CQ65" s="1220">
        <f>IF(BF65=60,"",IF(LEN(CX66)&lt;=14,CX66,CONCATENATE(IF(SUM(CX65:DD65)&gt;=0,"+",""),SUM(CX65:DD65),"(Total)")))</f>
      </c>
      <c r="CR65" s="1221"/>
      <c r="CS65" s="1221"/>
      <c r="CT65" s="1221"/>
      <c r="CU65" s="1221"/>
      <c r="CV65" s="1221"/>
      <c r="CW65" s="1221"/>
      <c r="CX65" s="186">
        <f>INDEX('技能'!$J$12:$J$71,' 印刷'!BF65)</f>
        <v>0</v>
      </c>
      <c r="CY65" s="186">
        <f>INDEX('技能'!$K$12:$K$71,BF65)</f>
        <v>0</v>
      </c>
      <c r="CZ65" s="186">
        <f>INDEX('技能'!$L$12:$L$71,BF65)</f>
        <v>0</v>
      </c>
      <c r="DA65" s="186">
        <f>INDEX('技能'!$M$12:$M$71,BF65)</f>
        <v>0</v>
      </c>
      <c r="DB65" s="186">
        <f>INDEX('技能'!$I$12:$I$71,BF65)</f>
        <v>0</v>
      </c>
      <c r="DC65" s="186">
        <f>INDEX('技能'!$H$12:$H$71,BF65)</f>
        <v>0</v>
      </c>
      <c r="DD65" s="186">
        <f>INDEX('技能'!$G$12:$G$71,BF65)</f>
        <v>0</v>
      </c>
      <c r="DE65" s="186" t="str">
        <f>INDEX('技能'!$P$12:$P$71,BF65)</f>
        <v>-</v>
      </c>
      <c r="DF65" s="351" t="str">
        <f>INDEX('技能'!$N$12:$N$71,BF65)</f>
        <v>No</v>
      </c>
      <c r="DG65" s="192"/>
      <c r="DH65" s="1197">
        <v>19</v>
      </c>
      <c r="DI65" s="1194">
        <v>25</v>
      </c>
      <c r="DJ65" s="1688"/>
      <c r="DK65" s="1688"/>
    </row>
    <row r="66" spans="1:115" ht="10.5" customHeight="1" thickBot="1">
      <c r="A66" s="1461" t="str">
        <f>INDEX('能力'!$E$81:$E$93,J66)</f>
        <v>Feint</v>
      </c>
      <c r="B66" s="1461"/>
      <c r="C66" s="1461"/>
      <c r="D66" s="1461"/>
      <c r="E66" s="1461"/>
      <c r="F66" s="1461"/>
      <c r="G66" s="1461"/>
      <c r="H66" s="1461"/>
      <c r="I66" s="1461"/>
      <c r="J66" s="198">
        <v>7</v>
      </c>
      <c r="K66" s="1561">
        <f>INDEX('能力'!$J$81:$J$93,J66)</f>
        <v>0</v>
      </c>
      <c r="L66" s="1562"/>
      <c r="M66" s="1562"/>
      <c r="N66" s="1563"/>
      <c r="O66" s="431"/>
      <c r="P66" s="1585" t="str">
        <f>IF(INDEX('能力'!$M$81:$M$93,J66)="","―",INDEX('能力'!$M$81:$M$93,J66))</f>
        <v>―</v>
      </c>
      <c r="Q66" s="1586"/>
      <c r="R66" s="1586"/>
      <c r="S66" s="1587"/>
      <c r="T66" s="431"/>
      <c r="U66" s="1585" t="str">
        <f>IF(INDEX('能力'!$O$81:$O$93,J66)="","―",IF(INDEX('能力'!$Q$81:$Q$93,J66)="",'能力'!$L$18,IF('能力'!$L$18&gt;'能力'!$L$19,'能力'!$L$18,'能力'!$L$19)))</f>
        <v>―</v>
      </c>
      <c r="V66" s="1586"/>
      <c r="W66" s="1586"/>
      <c r="X66" s="1587"/>
      <c r="Y66" s="431"/>
      <c r="Z66" s="1585" t="str">
        <f>IF(INDEX('能力'!$W$81:$W$93,J66)="","―",INDEX('能力'!$W$81:$W$93,J66))</f>
        <v>―</v>
      </c>
      <c r="AA66" s="1586"/>
      <c r="AB66" s="1586"/>
      <c r="AC66" s="1587"/>
      <c r="AD66" s="431"/>
      <c r="AE66" s="1582">
        <f>IF((INDEX('能力'!$S$81:$S$93,' 印刷'!J66)+INDEX('能力'!$C$81:$C$93,' 印刷'!J66))=0,"",(INDEX('能力'!$S$81:$S$93,' 印刷'!J66)+INDEX('能力'!$U$81:$U$93,' 印刷'!J66)))</f>
      </c>
      <c r="AF66" s="1583"/>
      <c r="AG66" s="1583"/>
      <c r="AH66" s="1584"/>
      <c r="AI66" s="431"/>
      <c r="AJ66" s="1582">
        <f>IF(INDEX('能力'!$U$81:$U$93,' 印刷'!J66)=0,"",INDEX('能力'!$U$81:$U$93,' 印刷'!J66))</f>
      </c>
      <c r="AK66" s="1583"/>
      <c r="AL66" s="1583"/>
      <c r="AM66" s="1584"/>
      <c r="AN66" s="431"/>
      <c r="AO66" s="1582">
        <f>IF(INDEX('能力'!$Y$81:$Y$93,' 印刷'!J66)=0,"",INDEX('能力'!$Y$81:$Y$93,' 印刷'!J66))</f>
      </c>
      <c r="AP66" s="1583"/>
      <c r="AQ66" s="1583"/>
      <c r="AR66" s="1584"/>
      <c r="AU66" s="1237"/>
      <c r="AV66" s="1238"/>
      <c r="AW66" s="1238"/>
      <c r="AX66" s="1238"/>
      <c r="AY66" s="1238"/>
      <c r="AZ66" s="1238"/>
      <c r="BA66" s="1238"/>
      <c r="BB66" s="1238"/>
      <c r="BC66" s="1238"/>
      <c r="BD66" s="1239"/>
      <c r="BE66" s="192"/>
      <c r="BF66" s="1468"/>
      <c r="BG66" s="1229"/>
      <c r="BH66" s="1229"/>
      <c r="BI66" s="1229"/>
      <c r="BJ66" s="1229"/>
      <c r="BK66" s="1229"/>
      <c r="BL66" s="1229"/>
      <c r="BM66" s="1229"/>
      <c r="BN66" s="1229"/>
      <c r="BO66" s="1229"/>
      <c r="BP66" s="1229"/>
      <c r="BQ66" s="1229"/>
      <c r="BR66" s="1229"/>
      <c r="BS66" s="1229"/>
      <c r="BT66" s="1229"/>
      <c r="BU66" s="1229"/>
      <c r="BV66" s="1229"/>
      <c r="BW66" s="1229"/>
      <c r="BX66" s="1229"/>
      <c r="BY66" s="1229"/>
      <c r="BZ66" s="1231"/>
      <c r="CA66" s="1231"/>
      <c r="CB66" s="1231"/>
      <c r="CC66" s="431"/>
      <c r="CD66" s="1203"/>
      <c r="CE66" s="1203"/>
      <c r="CF66" s="1203"/>
      <c r="CG66" s="1203"/>
      <c r="CH66" s="1204"/>
      <c r="CI66" s="1201"/>
      <c r="CJ66" s="1201"/>
      <c r="CK66" s="1201"/>
      <c r="CL66" s="1204"/>
      <c r="CM66" s="1219"/>
      <c r="CN66" s="1219"/>
      <c r="CO66" s="1219"/>
      <c r="CP66" s="1204"/>
      <c r="CQ66" s="1222"/>
      <c r="CR66" s="1222"/>
      <c r="CS66" s="1222"/>
      <c r="CT66" s="1222"/>
      <c r="CU66" s="1222"/>
      <c r="CV66" s="1222"/>
      <c r="CW66" s="1222"/>
      <c r="CX66" s="186">
        <f>CONCATENATE(IF(CX65&lt;&gt;0,CONCATENATE(IF(CX65&gt;0,"+",""),CX65,"Env."),""),IF(CY65&lt;&gt;0,CONCATENATE(IF(CY65&gt;0,"+",""),CY65,"Misc"),""),IF(CZ65&lt;&gt;0,CONCATENATE(IF(CZ65&gt;0,"+",""),CZ65,"Size"),""),IF(DA65&lt;&gt;0,CONCATENATE(IF(DA65&gt;0,"+",""),DA65,"Race"),""),IF(DB65&lt;&gt;0,CONCATENATE(IF(DB65&gt;0,"+",""),DB65,"Cmp."),""),IF(DC65&lt;&gt;0,CONCATENATE(IF(DC65&gt;0,"+",""),DC65),""),IF(DE65="-","",IF(DE65=0,"",CONCATENATE(DE65,"ACP"))))</f>
      </c>
      <c r="CY66" s="186"/>
      <c r="CZ66" s="186"/>
      <c r="DA66" s="186"/>
      <c r="DB66" s="186"/>
      <c r="DH66" s="1197"/>
      <c r="DI66" s="1194"/>
      <c r="DJ66" s="1688"/>
      <c r="DK66" s="1688"/>
    </row>
    <row r="67" spans="1:115" ht="10.5" customHeight="1" thickBot="1">
      <c r="A67" s="1461"/>
      <c r="B67" s="1461"/>
      <c r="C67" s="1461"/>
      <c r="D67" s="1461"/>
      <c r="E67" s="1461"/>
      <c r="F67" s="1461"/>
      <c r="G67" s="1461"/>
      <c r="H67" s="1461"/>
      <c r="I67" s="1461"/>
      <c r="J67" s="179"/>
      <c r="K67" s="1564"/>
      <c r="L67" s="1565"/>
      <c r="M67" s="1565"/>
      <c r="N67" s="1566"/>
      <c r="O67" s="455" t="s">
        <v>213</v>
      </c>
      <c r="P67" s="1588"/>
      <c r="Q67" s="1589"/>
      <c r="R67" s="1589"/>
      <c r="S67" s="1590"/>
      <c r="T67" s="455" t="s">
        <v>214</v>
      </c>
      <c r="U67" s="1588"/>
      <c r="V67" s="1589"/>
      <c r="W67" s="1589"/>
      <c r="X67" s="1590"/>
      <c r="Y67" s="455" t="s">
        <v>214</v>
      </c>
      <c r="Z67" s="1588"/>
      <c r="AA67" s="1589"/>
      <c r="AB67" s="1589"/>
      <c r="AC67" s="1590"/>
      <c r="AD67" s="455" t="s">
        <v>214</v>
      </c>
      <c r="AE67" s="1582"/>
      <c r="AF67" s="1583"/>
      <c r="AG67" s="1583"/>
      <c r="AH67" s="1584"/>
      <c r="AI67" s="455" t="s">
        <v>214</v>
      </c>
      <c r="AJ67" s="1582"/>
      <c r="AK67" s="1583"/>
      <c r="AL67" s="1583"/>
      <c r="AM67" s="1584"/>
      <c r="AN67" s="455" t="s">
        <v>214</v>
      </c>
      <c r="AO67" s="1582"/>
      <c r="AP67" s="1583"/>
      <c r="AQ67" s="1583"/>
      <c r="AR67" s="1584"/>
      <c r="AU67" s="1237"/>
      <c r="AV67" s="1238"/>
      <c r="AW67" s="1238"/>
      <c r="AX67" s="1238"/>
      <c r="AY67" s="1238"/>
      <c r="AZ67" s="1238"/>
      <c r="BA67" s="1238"/>
      <c r="BB67" s="1238"/>
      <c r="BC67" s="1238"/>
      <c r="BD67" s="1239"/>
      <c r="BE67" s="192"/>
      <c r="BF67" s="1468">
        <f ca="1">INDIRECT(ADDRESS(ROW(BF67),111+$BF$28))</f>
        <v>20</v>
      </c>
      <c r="BG67" s="1228" t="str">
        <f>IF(BF67=60,"",INDEX('技能'!$B$12:$B$70,BF67))</f>
        <v>Knowledge: Local</v>
      </c>
      <c r="BH67" s="1228"/>
      <c r="BI67" s="1228"/>
      <c r="BJ67" s="1228"/>
      <c r="BK67" s="1228"/>
      <c r="BL67" s="1228"/>
      <c r="BM67" s="1228"/>
      <c r="BN67" s="1228"/>
      <c r="BO67" s="1228"/>
      <c r="BP67" s="1228"/>
      <c r="BQ67" s="1228"/>
      <c r="BR67" s="1228"/>
      <c r="BS67" s="1228"/>
      <c r="BT67" s="1228"/>
      <c r="BU67" s="1228"/>
      <c r="BV67" s="1228"/>
      <c r="BW67" s="1228"/>
      <c r="BX67" s="1228"/>
      <c r="BY67" s="1228"/>
      <c r="BZ67" s="1230" t="str">
        <f>IF(BF67=60,"",INDEX('技能'!$D$12:$D$70,BF67))</f>
        <v>INT</v>
      </c>
      <c r="CA67" s="1230"/>
      <c r="CB67" s="1230"/>
      <c r="CC67" s="431">
        <f>IF(BF67=60,"",IF(INDEX('技能'!$P$12:$P$70,BF67)=0,"*",""))</f>
      </c>
      <c r="CD67" s="1202" t="str">
        <f>IF(BF67=60,"",IF(BZ67="なし","-",INDEX('技能'!$E$12:$E$70,BF67)))</f>
        <v>-</v>
      </c>
      <c r="CE67" s="1202"/>
      <c r="CF67" s="1202"/>
      <c r="CG67" s="1202"/>
      <c r="CH67" s="1204" t="s">
        <v>213</v>
      </c>
      <c r="CI67" s="1227">
        <f>IF(BF67=60,"",IF(BZ67="なし","-",INDEX('技能'!$F$12:$F$70,BF67)))</f>
        <v>0</v>
      </c>
      <c r="CJ67" s="1227"/>
      <c r="CK67" s="1227"/>
      <c r="CL67" s="1204" t="s">
        <v>214</v>
      </c>
      <c r="CM67" s="1218">
        <f>IF(BF67=60,"",IF(INDEX('技能'!$G$12:$G$70,BF67)&lt;&gt;0,INDEX('技能'!$O$12:$O$70,BF67)&amp;"#",INDEX('技能'!$O$12:$O$70,BF67)))</f>
        <v>0</v>
      </c>
      <c r="CN67" s="1218"/>
      <c r="CO67" s="1218"/>
      <c r="CP67" s="1204"/>
      <c r="CQ67" s="1220">
        <f>IF(BF67=60,"",IF(LEN(CX68)&lt;=14,CX68,CONCATENATE(IF(SUM(CX67:DD67)&gt;=0,"+",""),SUM(CX67:DD67),"(Total)")))</f>
      </c>
      <c r="CR67" s="1221"/>
      <c r="CS67" s="1221"/>
      <c r="CT67" s="1221"/>
      <c r="CU67" s="1221"/>
      <c r="CV67" s="1221"/>
      <c r="CW67" s="1221"/>
      <c r="CX67" s="186">
        <f>INDEX('技能'!$J$12:$J$71,' 印刷'!BF67)</f>
        <v>0</v>
      </c>
      <c r="CY67" s="186">
        <f>INDEX('技能'!$K$12:$K$71,BF67)</f>
        <v>0</v>
      </c>
      <c r="CZ67" s="186">
        <f>INDEX('技能'!$L$12:$L$71,BF67)</f>
        <v>0</v>
      </c>
      <c r="DA67" s="186">
        <f>INDEX('技能'!$M$12:$M$71,BF67)</f>
        <v>0</v>
      </c>
      <c r="DB67" s="186">
        <f>INDEX('技能'!$I$12:$I$71,BF67)</f>
        <v>0</v>
      </c>
      <c r="DC67" s="186">
        <f>INDEX('技能'!$H$12:$H$71,BF67)</f>
        <v>0</v>
      </c>
      <c r="DD67" s="186">
        <f>INDEX('技能'!$G$12:$G$71,BF67)</f>
        <v>0</v>
      </c>
      <c r="DE67" s="186" t="str">
        <f>INDEX('技能'!$P$12:$P$71,BF67)</f>
        <v>-</v>
      </c>
      <c r="DF67" s="351" t="str">
        <f>INDEX('技能'!$N$12:$N$71,BF67)</f>
        <v>No</v>
      </c>
      <c r="DH67" s="1197">
        <v>20</v>
      </c>
      <c r="DI67" s="1194">
        <v>26</v>
      </c>
      <c r="DJ67" s="1688"/>
      <c r="DK67" s="1688"/>
    </row>
    <row r="68" spans="1:115" ht="10.5" customHeight="1" thickBot="1">
      <c r="A68" s="1461"/>
      <c r="B68" s="1461"/>
      <c r="C68" s="1461"/>
      <c r="D68" s="1461"/>
      <c r="E68" s="1461"/>
      <c r="F68" s="1461"/>
      <c r="G68" s="1461"/>
      <c r="H68" s="1461"/>
      <c r="I68" s="1461"/>
      <c r="J68" s="179"/>
      <c r="K68" s="1567"/>
      <c r="L68" s="1568"/>
      <c r="M68" s="1568"/>
      <c r="N68" s="1569"/>
      <c r="O68" s="431"/>
      <c r="P68" s="1591"/>
      <c r="Q68" s="1592"/>
      <c r="R68" s="1592"/>
      <c r="S68" s="1593"/>
      <c r="T68" s="431"/>
      <c r="U68" s="1591"/>
      <c r="V68" s="1592"/>
      <c r="W68" s="1592"/>
      <c r="X68" s="1593"/>
      <c r="Y68" s="431"/>
      <c r="Z68" s="1591"/>
      <c r="AA68" s="1592"/>
      <c r="AB68" s="1592"/>
      <c r="AC68" s="1593"/>
      <c r="AD68" s="431"/>
      <c r="AE68" s="1582"/>
      <c r="AF68" s="1583"/>
      <c r="AG68" s="1583"/>
      <c r="AH68" s="1584"/>
      <c r="AI68" s="431"/>
      <c r="AJ68" s="1582"/>
      <c r="AK68" s="1583"/>
      <c r="AL68" s="1583"/>
      <c r="AM68" s="1584"/>
      <c r="AN68" s="431"/>
      <c r="AO68" s="1582"/>
      <c r="AP68" s="1583"/>
      <c r="AQ68" s="1583"/>
      <c r="AR68" s="1584"/>
      <c r="AU68" s="1240"/>
      <c r="AV68" s="1241"/>
      <c r="AW68" s="1241"/>
      <c r="AX68" s="1241"/>
      <c r="AY68" s="1241"/>
      <c r="AZ68" s="1241"/>
      <c r="BA68" s="1241"/>
      <c r="BB68" s="1241"/>
      <c r="BC68" s="1241"/>
      <c r="BD68" s="1242"/>
      <c r="BE68" s="192"/>
      <c r="BF68" s="1468"/>
      <c r="BG68" s="1229"/>
      <c r="BH68" s="1229"/>
      <c r="BI68" s="1229"/>
      <c r="BJ68" s="1229"/>
      <c r="BK68" s="1229"/>
      <c r="BL68" s="1229"/>
      <c r="BM68" s="1229"/>
      <c r="BN68" s="1229"/>
      <c r="BO68" s="1229"/>
      <c r="BP68" s="1229"/>
      <c r="BQ68" s="1229"/>
      <c r="BR68" s="1229"/>
      <c r="BS68" s="1229"/>
      <c r="BT68" s="1229"/>
      <c r="BU68" s="1229"/>
      <c r="BV68" s="1229"/>
      <c r="BW68" s="1229"/>
      <c r="BX68" s="1229"/>
      <c r="BY68" s="1229"/>
      <c r="BZ68" s="1231"/>
      <c r="CA68" s="1231"/>
      <c r="CB68" s="1231"/>
      <c r="CC68" s="431"/>
      <c r="CD68" s="1203"/>
      <c r="CE68" s="1203"/>
      <c r="CF68" s="1203"/>
      <c r="CG68" s="1203"/>
      <c r="CH68" s="1204"/>
      <c r="CI68" s="1201"/>
      <c r="CJ68" s="1201"/>
      <c r="CK68" s="1201"/>
      <c r="CL68" s="1204"/>
      <c r="CM68" s="1219"/>
      <c r="CN68" s="1219"/>
      <c r="CO68" s="1219"/>
      <c r="CP68" s="1204"/>
      <c r="CQ68" s="1222"/>
      <c r="CR68" s="1222"/>
      <c r="CS68" s="1222"/>
      <c r="CT68" s="1222"/>
      <c r="CU68" s="1222"/>
      <c r="CV68" s="1222"/>
      <c r="CW68" s="1222"/>
      <c r="CX68" s="186">
        <f>CONCATENATE(IF(CX67&lt;&gt;0,CONCATENATE(IF(CX67&gt;0,"+",""),CX67,"Env."),""),IF(CY67&lt;&gt;0,CONCATENATE(IF(CY67&gt;0,"+",""),CY67,"Misc"),""),IF(CZ67&lt;&gt;0,CONCATENATE(IF(CZ67&gt;0,"+",""),CZ67,"Size"),""),IF(DA67&lt;&gt;0,CONCATENATE(IF(DA67&gt;0,"+",""),DA67,"Race"),""),IF(DB67&lt;&gt;0,CONCATENATE(IF(DB67&gt;0,"+",""),DB67,"Cmp."),""),IF(DC67&lt;&gt;0,CONCATENATE(IF(DC67&gt;0,"+",""),DC67),""),IF(DE67="-","",IF(DE67=0,"",CONCATENATE(DE67,"ACP"))))</f>
      </c>
      <c r="CY68" s="186"/>
      <c r="CZ68" s="186"/>
      <c r="DA68" s="186"/>
      <c r="DB68" s="186"/>
      <c r="DH68" s="1197"/>
      <c r="DI68" s="1194"/>
      <c r="DJ68" s="1688"/>
      <c r="DK68" s="1688"/>
    </row>
    <row r="69" spans="1:115" ht="10.5" customHeight="1" thickBot="1">
      <c r="A69" s="1461" t="str">
        <f>INDEX('能力'!$E$81:$E$93,J69)</f>
        <v>Escape Artist</v>
      </c>
      <c r="B69" s="1461"/>
      <c r="C69" s="1461"/>
      <c r="D69" s="1461"/>
      <c r="E69" s="1461"/>
      <c r="F69" s="1461"/>
      <c r="G69" s="1461"/>
      <c r="H69" s="1461"/>
      <c r="I69" s="1461"/>
      <c r="J69" s="198">
        <v>3</v>
      </c>
      <c r="K69" s="1561">
        <f>INDEX('能力'!$J$81:$J$93,J69)</f>
        <v>-5</v>
      </c>
      <c r="L69" s="1562"/>
      <c r="M69" s="1562"/>
      <c r="N69" s="1563"/>
      <c r="O69" s="431"/>
      <c r="P69" s="1585" t="str">
        <f>IF(INDEX('能力'!$M$81:$M$93,J69)="","―",INDEX('能力'!$M$81:$M$93,J69))</f>
        <v>―</v>
      </c>
      <c r="Q69" s="1586"/>
      <c r="R69" s="1586"/>
      <c r="S69" s="1587"/>
      <c r="T69" s="431"/>
      <c r="U69" s="1585" t="str">
        <f>IF(INDEX('能力'!$O$81:$O$93,J69)="","―",IF(INDEX('能力'!$Q$81:$Q$93,J69)="",'能力'!$L$18,IF('能力'!$L$18&gt;'能力'!$L$19,'能力'!$L$18,'能力'!$L$19)))</f>
        <v>―</v>
      </c>
      <c r="V69" s="1586"/>
      <c r="W69" s="1586"/>
      <c r="X69" s="1587"/>
      <c r="Y69" s="431"/>
      <c r="Z69" s="1585" t="str">
        <f>IF(INDEX('能力'!$W$81:$W$93,J69)="","―",INDEX('能力'!$W$81:$W$93,J69))</f>
        <v>―</v>
      </c>
      <c r="AA69" s="1586"/>
      <c r="AB69" s="1586"/>
      <c r="AC69" s="1587"/>
      <c r="AD69" s="431"/>
      <c r="AE69" s="1582">
        <f>IF((INDEX('能力'!$S$81:$S$93,' 印刷'!J69)+INDEX('能力'!$C$81:$C$93,' 印刷'!J69))=0,"",(INDEX('能力'!$S$81:$S$93,' 印刷'!J69)+INDEX('能力'!$U$81:$U$93,' 印刷'!J69)))</f>
        <v>0</v>
      </c>
      <c r="AF69" s="1583"/>
      <c r="AG69" s="1583"/>
      <c r="AH69" s="1584"/>
      <c r="AI69" s="431"/>
      <c r="AJ69" s="1582">
        <f>IF(INDEX('能力'!$U$81:$U$93,' 印刷'!J69)=0,"",INDEX('能力'!$U$81:$U$93,' 印刷'!J69))</f>
      </c>
      <c r="AK69" s="1583"/>
      <c r="AL69" s="1583"/>
      <c r="AM69" s="1584"/>
      <c r="AN69" s="431"/>
      <c r="AO69" s="1582">
        <f>IF(INDEX('能力'!$Y$81:$Y$93,' 印刷'!J69)=0,"",INDEX('能力'!$Y$81:$Y$93,' 印刷'!J69))</f>
      </c>
      <c r="AP69" s="1583"/>
      <c r="AQ69" s="1583"/>
      <c r="AR69" s="1584"/>
      <c r="AU69" s="211"/>
      <c r="AV69" s="211"/>
      <c r="AW69" s="211"/>
      <c r="AX69" s="211"/>
      <c r="AY69" s="211"/>
      <c r="AZ69" s="211"/>
      <c r="BA69" s="211"/>
      <c r="BB69" s="211"/>
      <c r="BC69" s="211"/>
      <c r="BD69" s="211"/>
      <c r="BE69" s="192"/>
      <c r="BF69" s="1468">
        <f ca="1">INDIRECT(ADDRESS(ROW(BF69),111+$BF$28))</f>
        <v>22</v>
      </c>
      <c r="BG69" s="1228" t="str">
        <f>IF(BF69=60,"",INDEX('技能'!$B$12:$B$70,BF69))</f>
        <v>Knowledge: Nature</v>
      </c>
      <c r="BH69" s="1228"/>
      <c r="BI69" s="1228"/>
      <c r="BJ69" s="1228"/>
      <c r="BK69" s="1228"/>
      <c r="BL69" s="1228"/>
      <c r="BM69" s="1228"/>
      <c r="BN69" s="1228"/>
      <c r="BO69" s="1228"/>
      <c r="BP69" s="1228"/>
      <c r="BQ69" s="1228"/>
      <c r="BR69" s="1228"/>
      <c r="BS69" s="1228"/>
      <c r="BT69" s="1228"/>
      <c r="BU69" s="1228"/>
      <c r="BV69" s="1228"/>
      <c r="BW69" s="1228"/>
      <c r="BX69" s="1228"/>
      <c r="BY69" s="1228"/>
      <c r="BZ69" s="1230" t="str">
        <f>IF(BF69=60,"",INDEX('技能'!$D$12:$D$70,BF69))</f>
        <v>INT</v>
      </c>
      <c r="CA69" s="1230"/>
      <c r="CB69" s="1230"/>
      <c r="CC69" s="431">
        <f>IF(BF69=60,"",IF(INDEX('技能'!$P$12:$P$70,BF69)=0,"*",""))</f>
      </c>
      <c r="CD69" s="1202" t="str">
        <f>IF(BF69=60,"",IF(BZ69="なし","-",INDEX('技能'!$E$12:$E$70,BF69)))</f>
        <v>-</v>
      </c>
      <c r="CE69" s="1202"/>
      <c r="CF69" s="1202"/>
      <c r="CG69" s="1202"/>
      <c r="CH69" s="1204" t="s">
        <v>213</v>
      </c>
      <c r="CI69" s="1227">
        <f>IF(BF69=60,"",IF(BZ69="なし","-",INDEX('技能'!$F$12:$F$70,BF69)))</f>
        <v>0</v>
      </c>
      <c r="CJ69" s="1227"/>
      <c r="CK69" s="1227"/>
      <c r="CL69" s="1204" t="s">
        <v>214</v>
      </c>
      <c r="CM69" s="1218">
        <f>IF(BF69=60,"",IF(INDEX('技能'!$G$12:$G$70,BF69)&lt;&gt;0,INDEX('技能'!$O$12:$O$70,BF69)&amp;"#",INDEX('技能'!$O$12:$O$70,BF69)))</f>
        <v>0</v>
      </c>
      <c r="CN69" s="1218"/>
      <c r="CO69" s="1218"/>
      <c r="CP69" s="1204"/>
      <c r="CQ69" s="1220">
        <f>IF(BF69=60,"",IF(LEN(CX70)&lt;=14,CX70,CONCATENATE(IF(SUM(CX69:DD69)&gt;=0,"+",""),SUM(CX69:DD69),"(Total)")))</f>
      </c>
      <c r="CR69" s="1221"/>
      <c r="CS69" s="1221"/>
      <c r="CT69" s="1221"/>
      <c r="CU69" s="1221"/>
      <c r="CV69" s="1221"/>
      <c r="CW69" s="1221"/>
      <c r="CX69" s="186">
        <f>INDEX('技能'!$J$12:$J$71,' 印刷'!BF69)</f>
        <v>0</v>
      </c>
      <c r="CY69" s="186">
        <f>INDEX('技能'!$K$12:$K$71,BF69)</f>
        <v>0</v>
      </c>
      <c r="CZ69" s="186">
        <f>INDEX('技能'!$L$12:$L$71,BF69)</f>
        <v>0</v>
      </c>
      <c r="DA69" s="186">
        <f>INDEX('技能'!$M$12:$M$71,BF69)</f>
        <v>0</v>
      </c>
      <c r="DB69" s="186">
        <f>INDEX('技能'!$I$12:$I$71,BF69)</f>
        <v>0</v>
      </c>
      <c r="DC69" s="186">
        <f>INDEX('技能'!$H$12:$H$71,BF69)</f>
        <v>0</v>
      </c>
      <c r="DD69" s="186">
        <f>INDEX('技能'!$G$12:$G$71,BF69)</f>
        <v>0</v>
      </c>
      <c r="DE69" s="186" t="str">
        <f>INDEX('技能'!$P$12:$P$71,BF69)</f>
        <v>-</v>
      </c>
      <c r="DF69" s="351" t="str">
        <f>INDEX('技能'!$N$12:$N$71,BF69)</f>
        <v>No</v>
      </c>
      <c r="DH69" s="1197">
        <v>22</v>
      </c>
      <c r="DI69" s="1194">
        <v>27</v>
      </c>
      <c r="DJ69" s="1688"/>
      <c r="DK69" s="1688"/>
    </row>
    <row r="70" spans="1:115" ht="10.5" customHeight="1" thickBot="1">
      <c r="A70" s="1461"/>
      <c r="B70" s="1461"/>
      <c r="C70" s="1461"/>
      <c r="D70" s="1461"/>
      <c r="E70" s="1461"/>
      <c r="F70" s="1461"/>
      <c r="G70" s="1461"/>
      <c r="H70" s="1461"/>
      <c r="I70" s="1461"/>
      <c r="J70" s="179"/>
      <c r="K70" s="1564"/>
      <c r="L70" s="1565"/>
      <c r="M70" s="1565"/>
      <c r="N70" s="1566"/>
      <c r="O70" s="455" t="s">
        <v>213</v>
      </c>
      <c r="P70" s="1588"/>
      <c r="Q70" s="1589"/>
      <c r="R70" s="1589"/>
      <c r="S70" s="1590"/>
      <c r="T70" s="455" t="s">
        <v>214</v>
      </c>
      <c r="U70" s="1588"/>
      <c r="V70" s="1589"/>
      <c r="W70" s="1589"/>
      <c r="X70" s="1590"/>
      <c r="Y70" s="455" t="s">
        <v>214</v>
      </c>
      <c r="Z70" s="1588"/>
      <c r="AA70" s="1589"/>
      <c r="AB70" s="1589"/>
      <c r="AC70" s="1590"/>
      <c r="AD70" s="455" t="s">
        <v>214</v>
      </c>
      <c r="AE70" s="1582"/>
      <c r="AF70" s="1583"/>
      <c r="AG70" s="1583"/>
      <c r="AH70" s="1584"/>
      <c r="AI70" s="455" t="s">
        <v>214</v>
      </c>
      <c r="AJ70" s="1582"/>
      <c r="AK70" s="1583"/>
      <c r="AL70" s="1583"/>
      <c r="AM70" s="1584"/>
      <c r="AN70" s="455" t="s">
        <v>214</v>
      </c>
      <c r="AO70" s="1582"/>
      <c r="AP70" s="1583"/>
      <c r="AQ70" s="1583"/>
      <c r="AR70" s="1584"/>
      <c r="AU70" s="1598" t="s">
        <v>870</v>
      </c>
      <c r="AV70" s="1599"/>
      <c r="AW70" s="1599"/>
      <c r="AX70" s="1599"/>
      <c r="AY70" s="1599"/>
      <c r="AZ70" s="1599"/>
      <c r="BA70" s="1599"/>
      <c r="BB70" s="1599"/>
      <c r="BC70" s="1599"/>
      <c r="BD70" s="1599"/>
      <c r="BE70" s="192"/>
      <c r="BF70" s="1468"/>
      <c r="BG70" s="1229"/>
      <c r="BH70" s="1229"/>
      <c r="BI70" s="1229"/>
      <c r="BJ70" s="1229"/>
      <c r="BK70" s="1229"/>
      <c r="BL70" s="1229"/>
      <c r="BM70" s="1229"/>
      <c r="BN70" s="1229"/>
      <c r="BO70" s="1229"/>
      <c r="BP70" s="1229"/>
      <c r="BQ70" s="1229"/>
      <c r="BR70" s="1229"/>
      <c r="BS70" s="1229"/>
      <c r="BT70" s="1229"/>
      <c r="BU70" s="1229"/>
      <c r="BV70" s="1229"/>
      <c r="BW70" s="1229"/>
      <c r="BX70" s="1229"/>
      <c r="BY70" s="1229"/>
      <c r="BZ70" s="1231"/>
      <c r="CA70" s="1231"/>
      <c r="CB70" s="1231"/>
      <c r="CC70" s="431"/>
      <c r="CD70" s="1203"/>
      <c r="CE70" s="1203"/>
      <c r="CF70" s="1203"/>
      <c r="CG70" s="1203"/>
      <c r="CH70" s="1204"/>
      <c r="CI70" s="1201"/>
      <c r="CJ70" s="1201"/>
      <c r="CK70" s="1201"/>
      <c r="CL70" s="1204"/>
      <c r="CM70" s="1219"/>
      <c r="CN70" s="1219"/>
      <c r="CO70" s="1219"/>
      <c r="CP70" s="1204"/>
      <c r="CQ70" s="1222"/>
      <c r="CR70" s="1222"/>
      <c r="CS70" s="1222"/>
      <c r="CT70" s="1222"/>
      <c r="CU70" s="1222"/>
      <c r="CV70" s="1222"/>
      <c r="CW70" s="1222"/>
      <c r="CX70" s="186">
        <f>CONCATENATE(IF(CX69&lt;&gt;0,CONCATENATE(IF(CX69&gt;0,"+",""),CX69,"Env."),""),IF(CY69&lt;&gt;0,CONCATENATE(IF(CY69&gt;0,"+",""),CY69,"Misc"),""),IF(CZ69&lt;&gt;0,CONCATENATE(IF(CZ69&gt;0,"+",""),CZ69,"Size"),""),IF(DA69&lt;&gt;0,CONCATENATE(IF(DA69&gt;0,"+",""),DA69,"Race"),""),IF(DB69&lt;&gt;0,CONCATENATE(IF(DB69&gt;0,"+",""),DB69,"Cmp."),""),IF(DC69&lt;&gt;0,CONCATENATE(IF(DC69&gt;0,"+",""),DC69),""),IF(DE69="-","",IF(DE69=0,"",CONCATENATE(DE69,"ACP"))))</f>
      </c>
      <c r="CY70" s="186"/>
      <c r="CZ70" s="186"/>
      <c r="DA70" s="186"/>
      <c r="DB70" s="186"/>
      <c r="DH70" s="1197"/>
      <c r="DI70" s="1194"/>
      <c r="DJ70" s="1688"/>
      <c r="DK70" s="1688"/>
    </row>
    <row r="71" spans="1:115" ht="10.5" customHeight="1" thickBot="1">
      <c r="A71" s="1461"/>
      <c r="B71" s="1461"/>
      <c r="C71" s="1461"/>
      <c r="D71" s="1461"/>
      <c r="E71" s="1461"/>
      <c r="F71" s="1461"/>
      <c r="G71" s="1461"/>
      <c r="H71" s="1461"/>
      <c r="I71" s="1461"/>
      <c r="J71" s="179"/>
      <c r="K71" s="1567"/>
      <c r="L71" s="1568"/>
      <c r="M71" s="1568"/>
      <c r="N71" s="1569"/>
      <c r="O71" s="431"/>
      <c r="P71" s="1591"/>
      <c r="Q71" s="1592"/>
      <c r="R71" s="1592"/>
      <c r="S71" s="1593"/>
      <c r="T71" s="431"/>
      <c r="U71" s="1591"/>
      <c r="V71" s="1592"/>
      <c r="W71" s="1592"/>
      <c r="X71" s="1593"/>
      <c r="Y71" s="431"/>
      <c r="Z71" s="1591"/>
      <c r="AA71" s="1592"/>
      <c r="AB71" s="1592"/>
      <c r="AC71" s="1593"/>
      <c r="AD71" s="431"/>
      <c r="AE71" s="1582"/>
      <c r="AF71" s="1583"/>
      <c r="AG71" s="1583"/>
      <c r="AH71" s="1584"/>
      <c r="AI71" s="431"/>
      <c r="AJ71" s="1582"/>
      <c r="AK71" s="1583"/>
      <c r="AL71" s="1583"/>
      <c r="AM71" s="1584"/>
      <c r="AN71" s="431"/>
      <c r="AO71" s="1582"/>
      <c r="AP71" s="1583"/>
      <c r="AQ71" s="1583"/>
      <c r="AR71" s="1584"/>
      <c r="AU71" s="1598"/>
      <c r="AV71" s="1599"/>
      <c r="AW71" s="1599"/>
      <c r="AX71" s="1599"/>
      <c r="AY71" s="1599"/>
      <c r="AZ71" s="1599"/>
      <c r="BA71" s="1599"/>
      <c r="BB71" s="1599"/>
      <c r="BC71" s="1599"/>
      <c r="BD71" s="1599"/>
      <c r="BE71" s="192"/>
      <c r="BF71" s="1468">
        <f ca="1">INDIRECT(ADDRESS(ROW(BF71),111+$BF$28))</f>
        <v>23</v>
      </c>
      <c r="BG71" s="1228" t="str">
        <f>IF(BF71=60,"",INDEX('技能'!$B$12:$B$70,BF71))</f>
        <v>Knowledge: Nobility</v>
      </c>
      <c r="BH71" s="1228"/>
      <c r="BI71" s="1228"/>
      <c r="BJ71" s="1228"/>
      <c r="BK71" s="1228"/>
      <c r="BL71" s="1228"/>
      <c r="BM71" s="1228"/>
      <c r="BN71" s="1228"/>
      <c r="BO71" s="1228"/>
      <c r="BP71" s="1228"/>
      <c r="BQ71" s="1228"/>
      <c r="BR71" s="1228"/>
      <c r="BS71" s="1228"/>
      <c r="BT71" s="1228"/>
      <c r="BU71" s="1228"/>
      <c r="BV71" s="1228"/>
      <c r="BW71" s="1228"/>
      <c r="BX71" s="1228"/>
      <c r="BY71" s="1228"/>
      <c r="BZ71" s="1230" t="str">
        <f>IF(BF71=60,"",INDEX('技能'!$D$12:$D$70,BF71))</f>
        <v>INT</v>
      </c>
      <c r="CA71" s="1230"/>
      <c r="CB71" s="1230"/>
      <c r="CC71" s="431">
        <f>IF(BF71=60,"",IF(INDEX('技能'!$P$12:$P$70,BF71)=0,"*",""))</f>
      </c>
      <c r="CD71" s="1202" t="str">
        <f>IF(BF71=60,"",IF(BZ71="なし","-",INDEX('技能'!$E$12:$E$70,BF71)))</f>
        <v>-</v>
      </c>
      <c r="CE71" s="1202"/>
      <c r="CF71" s="1202"/>
      <c r="CG71" s="1202"/>
      <c r="CH71" s="1204" t="s">
        <v>213</v>
      </c>
      <c r="CI71" s="1227">
        <f>IF(BF71=60,"",IF(BZ71="なし","-",INDEX('技能'!$F$12:$F$70,BF71)))</f>
        <v>0</v>
      </c>
      <c r="CJ71" s="1227"/>
      <c r="CK71" s="1227"/>
      <c r="CL71" s="1204" t="s">
        <v>214</v>
      </c>
      <c r="CM71" s="1218">
        <f>IF(BF71=60,"",IF(INDEX('技能'!$G$12:$G$70,BF71)&lt;&gt;0,INDEX('技能'!$O$12:$O$70,BF71)&amp;"#",INDEX('技能'!$O$12:$O$70,BF71)))</f>
        <v>0</v>
      </c>
      <c r="CN71" s="1218"/>
      <c r="CO71" s="1218"/>
      <c r="CP71" s="1204"/>
      <c r="CQ71" s="1220">
        <f>IF(BF71=60,"",IF(LEN(CX72)&lt;=14,CX72,CONCATENATE(IF(SUM(CX71:DD71)&gt;=0,"+",""),SUM(CX71:DD71),"(Total)")))</f>
      </c>
      <c r="CR71" s="1221"/>
      <c r="CS71" s="1221"/>
      <c r="CT71" s="1221"/>
      <c r="CU71" s="1221"/>
      <c r="CV71" s="1221"/>
      <c r="CW71" s="1221"/>
      <c r="CX71" s="186">
        <f>INDEX('技能'!$J$12:$J$71,' 印刷'!BF71)</f>
        <v>0</v>
      </c>
      <c r="CY71" s="186">
        <f>INDEX('技能'!$K$12:$K$71,BF71)</f>
        <v>0</v>
      </c>
      <c r="CZ71" s="186">
        <f>INDEX('技能'!$L$12:$L$71,BF71)</f>
        <v>0</v>
      </c>
      <c r="DA71" s="186">
        <f>INDEX('技能'!$M$12:$M$71,BF71)</f>
        <v>0</v>
      </c>
      <c r="DB71" s="186">
        <f>INDEX('技能'!$I$12:$I$71,BF71)</f>
        <v>0</v>
      </c>
      <c r="DC71" s="186">
        <f>INDEX('技能'!$H$12:$H$71,BF71)</f>
        <v>0</v>
      </c>
      <c r="DD71" s="186">
        <f>INDEX('技能'!$G$12:$G$71,BF71)</f>
        <v>0</v>
      </c>
      <c r="DE71" s="186" t="str">
        <f>INDEX('技能'!$P$12:$P$71,BF71)</f>
        <v>-</v>
      </c>
      <c r="DF71" s="351" t="str">
        <f>INDEX('技能'!$N$12:$N$71,BF71)</f>
        <v>No</v>
      </c>
      <c r="DH71" s="1197">
        <v>23</v>
      </c>
      <c r="DI71" s="1194">
        <v>29</v>
      </c>
      <c r="DJ71" s="1688"/>
      <c r="DK71" s="1688"/>
    </row>
    <row r="72" spans="1:115" ht="10.5" customHeight="1" thickBot="1">
      <c r="A72" s="1461" t="str">
        <f>INDEX('能力'!$E$81:$E$93,J72)</f>
        <v>vs. Feint</v>
      </c>
      <c r="B72" s="1461"/>
      <c r="C72" s="1461"/>
      <c r="D72" s="1461"/>
      <c r="E72" s="1461"/>
      <c r="F72" s="1461"/>
      <c r="G72" s="1461"/>
      <c r="H72" s="1461"/>
      <c r="I72" s="1461"/>
      <c r="J72" s="198">
        <v>11</v>
      </c>
      <c r="K72" s="1561">
        <f>INDEX('能力'!$J$81:$J$93,J72)</f>
        <v>21</v>
      </c>
      <c r="L72" s="1562"/>
      <c r="M72" s="1562"/>
      <c r="N72" s="1563"/>
      <c r="O72" s="431"/>
      <c r="P72" s="1585">
        <f>IF(INDEX('能力'!$M$81:$M$93,J72)="","―",INDEX('能力'!$M$81:$M$93,J72))</f>
        <v>11</v>
      </c>
      <c r="Q72" s="1586"/>
      <c r="R72" s="1586"/>
      <c r="S72" s="1587"/>
      <c r="T72" s="431"/>
      <c r="U72" s="1585">
        <f>IF(INDEX('能力'!$O$81:$O$93,J72)="","―",IF(INDEX('能力'!$Q$81:$Q$93,J72)="",'能力'!$L$18,IF('能力'!$L$18&gt;'能力'!$L$19,'能力'!$L$18,'能力'!$L$19)))</f>
        <v>7</v>
      </c>
      <c r="V72" s="1586"/>
      <c r="W72" s="1586"/>
      <c r="X72" s="1587"/>
      <c r="Y72" s="431"/>
      <c r="Z72" s="1585" t="str">
        <f>IF(INDEX('能力'!$W$81:$W$93,J72)="","―",INDEX('能力'!$W$81:$W$93,J72))</f>
        <v>―</v>
      </c>
      <c r="AA72" s="1586"/>
      <c r="AB72" s="1586"/>
      <c r="AC72" s="1587"/>
      <c r="AD72" s="431"/>
      <c r="AE72" s="1582">
        <f>IF((INDEX('能力'!$S$81:$S$93,' 印刷'!J72)+INDEX('能力'!$C$81:$C$93,' 印刷'!J72))=0,"",(INDEX('能力'!$S$81:$S$93,' 印刷'!J72)+INDEX('能力'!$U$81:$U$93,' 印刷'!J72)))</f>
      </c>
      <c r="AF72" s="1583"/>
      <c r="AG72" s="1583"/>
      <c r="AH72" s="1584"/>
      <c r="AI72" s="431"/>
      <c r="AJ72" s="1582">
        <f>IF(INDEX('能力'!$U$81:$U$93,' 印刷'!J72)=0,"",INDEX('能力'!$U$81:$U$93,' 印刷'!J72))</f>
      </c>
      <c r="AK72" s="1583"/>
      <c r="AL72" s="1583"/>
      <c r="AM72" s="1584"/>
      <c r="AN72" s="431"/>
      <c r="AO72" s="1582">
        <f>IF(INDEX('能力'!$Y$81:$Y$93,' 印刷'!J72)=0,"",INDEX('能力'!$Y$81:$Y$93,' 印刷'!J72))</f>
      </c>
      <c r="AP72" s="1583"/>
      <c r="AQ72" s="1583"/>
      <c r="AR72" s="1584"/>
      <c r="AU72" s="1694" t="str">
        <f>'能力'!AE14&amp;"ft"</f>
        <v>5ft</v>
      </c>
      <c r="AV72" s="1695"/>
      <c r="AW72" s="1695"/>
      <c r="AX72" s="1695"/>
      <c r="AY72" s="1695"/>
      <c r="AZ72" s="1695"/>
      <c r="BA72" s="1695"/>
      <c r="BB72" s="1695"/>
      <c r="BC72" s="1695"/>
      <c r="BD72" s="1696"/>
      <c r="BE72" s="192"/>
      <c r="BF72" s="1468"/>
      <c r="BG72" s="1229"/>
      <c r="BH72" s="1229"/>
      <c r="BI72" s="1229"/>
      <c r="BJ72" s="1229"/>
      <c r="BK72" s="1229"/>
      <c r="BL72" s="1229"/>
      <c r="BM72" s="1229"/>
      <c r="BN72" s="1229"/>
      <c r="BO72" s="1229"/>
      <c r="BP72" s="1229"/>
      <c r="BQ72" s="1229"/>
      <c r="BR72" s="1229"/>
      <c r="BS72" s="1229"/>
      <c r="BT72" s="1229"/>
      <c r="BU72" s="1229"/>
      <c r="BV72" s="1229"/>
      <c r="BW72" s="1229"/>
      <c r="BX72" s="1229"/>
      <c r="BY72" s="1229"/>
      <c r="BZ72" s="1231"/>
      <c r="CA72" s="1231"/>
      <c r="CB72" s="1231"/>
      <c r="CC72" s="431"/>
      <c r="CD72" s="1203"/>
      <c r="CE72" s="1203"/>
      <c r="CF72" s="1203"/>
      <c r="CG72" s="1203"/>
      <c r="CH72" s="1204"/>
      <c r="CI72" s="1201"/>
      <c r="CJ72" s="1201"/>
      <c r="CK72" s="1201"/>
      <c r="CL72" s="1204"/>
      <c r="CM72" s="1219"/>
      <c r="CN72" s="1219"/>
      <c r="CO72" s="1219"/>
      <c r="CP72" s="1204"/>
      <c r="CQ72" s="1222"/>
      <c r="CR72" s="1222"/>
      <c r="CS72" s="1222"/>
      <c r="CT72" s="1222"/>
      <c r="CU72" s="1222"/>
      <c r="CV72" s="1222"/>
      <c r="CW72" s="1222"/>
      <c r="CX72" s="186">
        <f>CONCATENATE(IF(CX71&lt;&gt;0,CONCATENATE(IF(CX71&gt;0,"+",""),CX71,"Env."),""),IF(CY71&lt;&gt;0,CONCATENATE(IF(CY71&gt;0,"+",""),CY71,"Misc"),""),IF(CZ71&lt;&gt;0,CONCATENATE(IF(CZ71&gt;0,"+",""),CZ71,"Size"),""),IF(DA71&lt;&gt;0,CONCATENATE(IF(DA71&gt;0,"+",""),DA71,"Race"),""),IF(DB71&lt;&gt;0,CONCATENATE(IF(DB71&gt;0,"+",""),DB71,"Cmp."),""),IF(DC71&lt;&gt;0,CONCATENATE(IF(DC71&gt;0,"+",""),DC71),""),IF(DE71="-","",IF(DE71=0,"",CONCATENATE(DE71,"ACP"))))</f>
      </c>
      <c r="CY72" s="186"/>
      <c r="CZ72" s="186"/>
      <c r="DA72" s="186"/>
      <c r="DB72" s="186"/>
      <c r="DG72" s="192"/>
      <c r="DH72" s="1197"/>
      <c r="DI72" s="1194"/>
      <c r="DJ72" s="1688"/>
      <c r="DK72" s="1688"/>
    </row>
    <row r="73" spans="1:115" ht="10.5" customHeight="1" thickBot="1">
      <c r="A73" s="1461"/>
      <c r="B73" s="1461"/>
      <c r="C73" s="1461"/>
      <c r="D73" s="1461"/>
      <c r="E73" s="1461"/>
      <c r="F73" s="1461"/>
      <c r="G73" s="1461"/>
      <c r="H73" s="1461"/>
      <c r="I73" s="1461"/>
      <c r="J73" s="179"/>
      <c r="K73" s="1564"/>
      <c r="L73" s="1565"/>
      <c r="M73" s="1565"/>
      <c r="N73" s="1566"/>
      <c r="O73" s="455" t="s">
        <v>213</v>
      </c>
      <c r="P73" s="1588"/>
      <c r="Q73" s="1589"/>
      <c r="R73" s="1589"/>
      <c r="S73" s="1590"/>
      <c r="T73" s="455" t="s">
        <v>214</v>
      </c>
      <c r="U73" s="1588"/>
      <c r="V73" s="1589"/>
      <c r="W73" s="1589"/>
      <c r="X73" s="1590"/>
      <c r="Y73" s="455" t="s">
        <v>214</v>
      </c>
      <c r="Z73" s="1588"/>
      <c r="AA73" s="1589"/>
      <c r="AB73" s="1589"/>
      <c r="AC73" s="1590"/>
      <c r="AD73" s="455" t="s">
        <v>214</v>
      </c>
      <c r="AE73" s="1582"/>
      <c r="AF73" s="1583"/>
      <c r="AG73" s="1583"/>
      <c r="AH73" s="1584"/>
      <c r="AI73" s="455" t="s">
        <v>214</v>
      </c>
      <c r="AJ73" s="1582"/>
      <c r="AK73" s="1583"/>
      <c r="AL73" s="1583"/>
      <c r="AM73" s="1584"/>
      <c r="AN73" s="455" t="s">
        <v>214</v>
      </c>
      <c r="AO73" s="1582"/>
      <c r="AP73" s="1583"/>
      <c r="AQ73" s="1583"/>
      <c r="AR73" s="1584"/>
      <c r="AU73" s="1697"/>
      <c r="AV73" s="1698"/>
      <c r="AW73" s="1698"/>
      <c r="AX73" s="1698"/>
      <c r="AY73" s="1698"/>
      <c r="AZ73" s="1698"/>
      <c r="BA73" s="1698"/>
      <c r="BB73" s="1698"/>
      <c r="BC73" s="1698"/>
      <c r="BD73" s="1699"/>
      <c r="BE73" s="192"/>
      <c r="BF73" s="1468">
        <f ca="1">INDIRECT(ADDRESS(ROW(BF73),111+$BF$28))</f>
        <v>24</v>
      </c>
      <c r="BG73" s="1228" t="str">
        <f>IF(BF73=60,"",INDEX('技能'!$B$12:$B$70,BF73))</f>
        <v>Knowledge: Planes</v>
      </c>
      <c r="BH73" s="1228"/>
      <c r="BI73" s="1228"/>
      <c r="BJ73" s="1228"/>
      <c r="BK73" s="1228"/>
      <c r="BL73" s="1228"/>
      <c r="BM73" s="1228"/>
      <c r="BN73" s="1228"/>
      <c r="BO73" s="1228"/>
      <c r="BP73" s="1228"/>
      <c r="BQ73" s="1228"/>
      <c r="BR73" s="1228"/>
      <c r="BS73" s="1228"/>
      <c r="BT73" s="1228"/>
      <c r="BU73" s="1228"/>
      <c r="BV73" s="1228"/>
      <c r="BW73" s="1228"/>
      <c r="BX73" s="1228"/>
      <c r="BY73" s="1228"/>
      <c r="BZ73" s="1230" t="str">
        <f>IF(BF73=60,"",INDEX('技能'!$D$12:$D$70,BF73))</f>
        <v>INT</v>
      </c>
      <c r="CA73" s="1230"/>
      <c r="CB73" s="1230"/>
      <c r="CC73" s="431">
        <f>IF(BF73=60,"",IF(INDEX('技能'!$P$12:$P$70,BF73)=0,"*",""))</f>
      </c>
      <c r="CD73" s="1202" t="str">
        <f>IF(BF73=60,"",IF(BZ73="なし","-",INDEX('技能'!$E$12:$E$70,BF73)))</f>
        <v>-</v>
      </c>
      <c r="CE73" s="1202"/>
      <c r="CF73" s="1202"/>
      <c r="CG73" s="1202"/>
      <c r="CH73" s="1204" t="s">
        <v>213</v>
      </c>
      <c r="CI73" s="1227">
        <f>IF(BF73=60,"",IF(BZ73="なし","-",INDEX('技能'!$F$12:$F$70,BF73)))</f>
        <v>0</v>
      </c>
      <c r="CJ73" s="1227"/>
      <c r="CK73" s="1227"/>
      <c r="CL73" s="1204" t="s">
        <v>214</v>
      </c>
      <c r="CM73" s="1218">
        <f>IF(BF73=60,"",IF(INDEX('技能'!$G$12:$G$70,BF73)&lt;&gt;0,INDEX('技能'!$O$12:$O$70,BF73)&amp;"#",INDEX('技能'!$O$12:$O$70,BF73)))</f>
        <v>0</v>
      </c>
      <c r="CN73" s="1218"/>
      <c r="CO73" s="1218"/>
      <c r="CP73" s="1204"/>
      <c r="CQ73" s="1220">
        <f>IF(BF73=60,"",IF(LEN(CX74)&lt;=14,CX74,CONCATENATE(IF(SUM(CX73:DD73)&gt;=0,"+",""),SUM(CX73:DD73),"(Total)")))</f>
      </c>
      <c r="CR73" s="1221"/>
      <c r="CS73" s="1221"/>
      <c r="CT73" s="1221"/>
      <c r="CU73" s="1221"/>
      <c r="CV73" s="1221"/>
      <c r="CW73" s="1221"/>
      <c r="CX73" s="186">
        <f>INDEX('技能'!$J$12:$J$71,' 印刷'!BF73)</f>
        <v>0</v>
      </c>
      <c r="CY73" s="186">
        <f>INDEX('技能'!$K$12:$K$71,BF73)</f>
        <v>0</v>
      </c>
      <c r="CZ73" s="186">
        <f>INDEX('技能'!$L$12:$L$71,BF73)</f>
        <v>0</v>
      </c>
      <c r="DA73" s="186">
        <f>INDEX('技能'!$M$12:$M$71,BF73)</f>
        <v>0</v>
      </c>
      <c r="DB73" s="186">
        <f>INDEX('技能'!$I$12:$I$71,BF73)</f>
        <v>0</v>
      </c>
      <c r="DC73" s="186">
        <f>INDEX('技能'!$H$12:$H$71,BF73)</f>
        <v>0</v>
      </c>
      <c r="DD73" s="186">
        <f>INDEX('技能'!$G$12:$G$71,BF73)</f>
        <v>0</v>
      </c>
      <c r="DE73" s="186" t="str">
        <f>INDEX('技能'!$P$12:$P$71,BF73)</f>
        <v>-</v>
      </c>
      <c r="DF73" s="351" t="str">
        <f>INDEX('技能'!$N$12:$N$71,BF73)</f>
        <v>No</v>
      </c>
      <c r="DG73" s="192"/>
      <c r="DH73" s="1197">
        <v>24</v>
      </c>
      <c r="DI73" s="1194">
        <v>30</v>
      </c>
      <c r="DJ73" s="1688"/>
      <c r="DK73" s="1688"/>
    </row>
    <row r="74" spans="1:115" ht="10.5" customHeight="1" thickBot="1">
      <c r="A74" s="1461"/>
      <c r="B74" s="1461"/>
      <c r="C74" s="1461"/>
      <c r="D74" s="1461"/>
      <c r="E74" s="1461"/>
      <c r="F74" s="1461"/>
      <c r="G74" s="1461"/>
      <c r="H74" s="1461"/>
      <c r="I74" s="1461"/>
      <c r="J74" s="179"/>
      <c r="K74" s="1567"/>
      <c r="L74" s="1568"/>
      <c r="M74" s="1568"/>
      <c r="N74" s="1569"/>
      <c r="O74" s="431"/>
      <c r="P74" s="1591"/>
      <c r="Q74" s="1592"/>
      <c r="R74" s="1592"/>
      <c r="S74" s="1593"/>
      <c r="T74" s="431"/>
      <c r="U74" s="1591"/>
      <c r="V74" s="1592"/>
      <c r="W74" s="1592"/>
      <c r="X74" s="1593"/>
      <c r="Y74" s="431"/>
      <c r="Z74" s="1591"/>
      <c r="AA74" s="1592"/>
      <c r="AB74" s="1592"/>
      <c r="AC74" s="1593"/>
      <c r="AD74" s="431"/>
      <c r="AE74" s="1582"/>
      <c r="AF74" s="1583"/>
      <c r="AG74" s="1583"/>
      <c r="AH74" s="1584"/>
      <c r="AI74" s="431"/>
      <c r="AJ74" s="1582"/>
      <c r="AK74" s="1583"/>
      <c r="AL74" s="1583"/>
      <c r="AM74" s="1584"/>
      <c r="AN74" s="431"/>
      <c r="AO74" s="1582"/>
      <c r="AP74" s="1583"/>
      <c r="AQ74" s="1583"/>
      <c r="AR74" s="1584"/>
      <c r="AU74" s="1700"/>
      <c r="AV74" s="1701"/>
      <c r="AW74" s="1701"/>
      <c r="AX74" s="1701"/>
      <c r="AY74" s="1701"/>
      <c r="AZ74" s="1701"/>
      <c r="BA74" s="1701"/>
      <c r="BB74" s="1701"/>
      <c r="BC74" s="1701"/>
      <c r="BD74" s="1702"/>
      <c r="BE74" s="192"/>
      <c r="BF74" s="1468"/>
      <c r="BG74" s="1229"/>
      <c r="BH74" s="1229"/>
      <c r="BI74" s="1229"/>
      <c r="BJ74" s="1229"/>
      <c r="BK74" s="1229"/>
      <c r="BL74" s="1229"/>
      <c r="BM74" s="1229"/>
      <c r="BN74" s="1229"/>
      <c r="BO74" s="1229"/>
      <c r="BP74" s="1229"/>
      <c r="BQ74" s="1229"/>
      <c r="BR74" s="1229"/>
      <c r="BS74" s="1229"/>
      <c r="BT74" s="1229"/>
      <c r="BU74" s="1229"/>
      <c r="BV74" s="1229"/>
      <c r="BW74" s="1229"/>
      <c r="BX74" s="1229"/>
      <c r="BY74" s="1229"/>
      <c r="BZ74" s="1231"/>
      <c r="CA74" s="1231"/>
      <c r="CB74" s="1231"/>
      <c r="CC74" s="431"/>
      <c r="CD74" s="1203"/>
      <c r="CE74" s="1203"/>
      <c r="CF74" s="1203"/>
      <c r="CG74" s="1203"/>
      <c r="CH74" s="1204"/>
      <c r="CI74" s="1201"/>
      <c r="CJ74" s="1201"/>
      <c r="CK74" s="1201"/>
      <c r="CL74" s="1204"/>
      <c r="CM74" s="1219"/>
      <c r="CN74" s="1219"/>
      <c r="CO74" s="1219"/>
      <c r="CP74" s="1204"/>
      <c r="CQ74" s="1222"/>
      <c r="CR74" s="1222"/>
      <c r="CS74" s="1222"/>
      <c r="CT74" s="1222"/>
      <c r="CU74" s="1222"/>
      <c r="CV74" s="1222"/>
      <c r="CW74" s="1222"/>
      <c r="CX74" s="186">
        <f>CONCATENATE(IF(CX73&lt;&gt;0,CONCATENATE(IF(CX73&gt;0,"+",""),CX73,"Env."),""),IF(CY73&lt;&gt;0,CONCATENATE(IF(CY73&gt;0,"+",""),CY73,"Misc"),""),IF(CZ73&lt;&gt;0,CONCATENATE(IF(CZ73&gt;0,"+",""),CZ73,"Size"),""),IF(DA73&lt;&gt;0,CONCATENATE(IF(DA73&gt;0,"+",""),DA73,"Race"),""),IF(DB73&lt;&gt;0,CONCATENATE(IF(DB73&gt;0,"+",""),DB73,"Cmp."),""),IF(DC73&lt;&gt;0,CONCATENATE(IF(DC73&gt;0,"+",""),DC73),""),IF(DE73="-","",IF(DE73=0,"",CONCATENATE(DE73,"ACP"))))</f>
      </c>
      <c r="CY74" s="186"/>
      <c r="CZ74" s="186"/>
      <c r="DA74" s="186"/>
      <c r="DB74" s="186"/>
      <c r="DG74" s="192"/>
      <c r="DH74" s="1197"/>
      <c r="DI74" s="1194"/>
      <c r="DJ74" s="1688"/>
      <c r="DK74" s="1688"/>
    </row>
    <row r="75" spans="57:115" ht="10.5" customHeight="1" thickBot="1">
      <c r="BE75" s="192"/>
      <c r="BF75" s="1468">
        <f ca="1">INDIRECT(ADDRESS(ROW(BF75),111+$BF$28))</f>
        <v>25</v>
      </c>
      <c r="BG75" s="1228" t="str">
        <f>IF(BF75=60,"",INDEX('技能'!$B$12:$B$70,BF75))</f>
        <v>Knowledge: Religion</v>
      </c>
      <c r="BH75" s="1228"/>
      <c r="BI75" s="1228"/>
      <c r="BJ75" s="1228"/>
      <c r="BK75" s="1228"/>
      <c r="BL75" s="1228"/>
      <c r="BM75" s="1228"/>
      <c r="BN75" s="1228"/>
      <c r="BO75" s="1228"/>
      <c r="BP75" s="1228"/>
      <c r="BQ75" s="1228"/>
      <c r="BR75" s="1228"/>
      <c r="BS75" s="1228"/>
      <c r="BT75" s="1228"/>
      <c r="BU75" s="1228"/>
      <c r="BV75" s="1228"/>
      <c r="BW75" s="1228"/>
      <c r="BX75" s="1228"/>
      <c r="BY75" s="1228"/>
      <c r="BZ75" s="1230" t="str">
        <f>IF(BF75=60,"",INDEX('技能'!$D$12:$D$70,BF75))</f>
        <v>INT</v>
      </c>
      <c r="CA75" s="1230"/>
      <c r="CB75" s="1230"/>
      <c r="CC75" s="431">
        <f>IF(BF75=60,"",IF(INDEX('技能'!$P$12:$P$70,BF75)=0,"*",""))</f>
      </c>
      <c r="CD75" s="1202" t="str">
        <f>IF(BF75=60,"",IF(BZ75="なし","-",INDEX('技能'!$E$12:$E$70,BF75)))</f>
        <v>-</v>
      </c>
      <c r="CE75" s="1202"/>
      <c r="CF75" s="1202"/>
      <c r="CG75" s="1202"/>
      <c r="CH75" s="1204" t="s">
        <v>213</v>
      </c>
      <c r="CI75" s="1227">
        <f>IF(BF75=60,"",IF(BZ75="なし","-",INDEX('技能'!$F$12:$F$70,BF75)))</f>
        <v>0</v>
      </c>
      <c r="CJ75" s="1227"/>
      <c r="CK75" s="1227"/>
      <c r="CL75" s="1204" t="s">
        <v>214</v>
      </c>
      <c r="CM75" s="1218">
        <f>IF(BF75=60,"",IF(INDEX('技能'!$G$12:$G$70,BF75)&lt;&gt;0,INDEX('技能'!$O$12:$O$70,BF75)&amp;"#",INDEX('技能'!$O$12:$O$70,BF75)))</f>
        <v>0</v>
      </c>
      <c r="CN75" s="1218"/>
      <c r="CO75" s="1218"/>
      <c r="CP75" s="1204"/>
      <c r="CQ75" s="1220">
        <f>IF(BF75=60,"",IF(LEN(CX76)&lt;=14,CX76,CONCATENATE(IF(SUM(CX75:DD75)&gt;=0,"+",""),SUM(CX75:DD75),"(Total)")))</f>
      </c>
      <c r="CR75" s="1221"/>
      <c r="CS75" s="1221"/>
      <c r="CT75" s="1221"/>
      <c r="CU75" s="1221"/>
      <c r="CV75" s="1221"/>
      <c r="CW75" s="1221"/>
      <c r="CX75" s="186">
        <f>INDEX('技能'!$J$12:$J$71,' 印刷'!BF75)</f>
        <v>0</v>
      </c>
      <c r="CY75" s="186">
        <f>INDEX('技能'!$K$12:$K$71,BF75)</f>
        <v>0</v>
      </c>
      <c r="CZ75" s="186">
        <f>INDEX('技能'!$L$12:$L$71,BF75)</f>
        <v>0</v>
      </c>
      <c r="DA75" s="186">
        <f>INDEX('技能'!$M$12:$M$71,BF75)</f>
        <v>0</v>
      </c>
      <c r="DB75" s="186">
        <f>INDEX('技能'!$I$12:$I$71,BF75)</f>
        <v>0</v>
      </c>
      <c r="DC75" s="186">
        <f>INDEX('技能'!$H$12:$H$71,BF75)</f>
        <v>0</v>
      </c>
      <c r="DD75" s="186">
        <f>INDEX('技能'!$G$12:$G$71,BF75)</f>
        <v>0</v>
      </c>
      <c r="DE75" s="186" t="str">
        <f>INDEX('技能'!$P$12:$P$71,BF75)</f>
        <v>-</v>
      </c>
      <c r="DF75" s="351" t="str">
        <f>INDEX('技能'!$N$12:$N$71,BF75)</f>
        <v>No</v>
      </c>
      <c r="DG75" s="192"/>
      <c r="DH75" s="1197">
        <v>25</v>
      </c>
      <c r="DI75" s="1194">
        <v>32</v>
      </c>
      <c r="DJ75" s="1688"/>
      <c r="DK75" s="1688"/>
    </row>
    <row r="76" spans="1:115" ht="10.5" customHeight="1">
      <c r="A76" s="1253" t="s">
        <v>697</v>
      </c>
      <c r="B76" s="1254"/>
      <c r="C76" s="1254"/>
      <c r="D76" s="1254"/>
      <c r="E76" s="1254"/>
      <c r="F76" s="1254"/>
      <c r="G76" s="1254"/>
      <c r="H76" s="1254"/>
      <c r="I76" s="1254"/>
      <c r="J76" s="1254"/>
      <c r="K76" s="1254"/>
      <c r="L76" s="1254"/>
      <c r="M76" s="1254"/>
      <c r="N76" s="1254"/>
      <c r="O76" s="1254"/>
      <c r="P76" s="1254"/>
      <c r="Q76" s="1255"/>
      <c r="R76" s="478">
        <v>1</v>
      </c>
      <c r="S76" s="479">
        <f>INDEX('能力'!$O$98:$O$107,R76)</f>
        <v>21</v>
      </c>
      <c r="T76" s="479">
        <f>INDEX('能力'!$BG$98:$BG$107,R76)</f>
      </c>
      <c r="U76" s="480">
        <f>INDEX('能力'!$AQ$98:$AQ$107,R76)</f>
      </c>
      <c r="V76" s="479"/>
      <c r="W76" s="481"/>
      <c r="X76" s="481"/>
      <c r="Y76" s="481"/>
      <c r="Z76" s="481"/>
      <c r="AA76" s="481"/>
      <c r="AB76" s="481"/>
      <c r="AC76" s="481"/>
      <c r="AD76" s="481"/>
      <c r="AE76" s="481"/>
      <c r="AF76" s="482"/>
      <c r="AG76" s="483"/>
      <c r="AH76" s="483"/>
      <c r="AI76" s="483"/>
      <c r="AJ76" s="483"/>
      <c r="AK76" s="483"/>
      <c r="AL76" s="483"/>
      <c r="AM76" s="483"/>
      <c r="AN76" s="483"/>
      <c r="AO76" s="483"/>
      <c r="AP76" s="483"/>
      <c r="AQ76" s="483"/>
      <c r="AR76" s="483"/>
      <c r="AS76" s="483"/>
      <c r="AT76" s="483"/>
      <c r="AU76" s="483"/>
      <c r="AV76" s="483"/>
      <c r="AW76" s="483"/>
      <c r="AX76" s="483"/>
      <c r="AY76" s="483"/>
      <c r="AZ76" s="483"/>
      <c r="BA76" s="483"/>
      <c r="BB76" s="483"/>
      <c r="BC76" s="483"/>
      <c r="BD76" s="483"/>
      <c r="BE76" s="192"/>
      <c r="BF76" s="1468"/>
      <c r="BG76" s="1229"/>
      <c r="BH76" s="1229"/>
      <c r="BI76" s="1229"/>
      <c r="BJ76" s="1229"/>
      <c r="BK76" s="1229"/>
      <c r="BL76" s="1229"/>
      <c r="BM76" s="1229"/>
      <c r="BN76" s="1229"/>
      <c r="BO76" s="1229"/>
      <c r="BP76" s="1229"/>
      <c r="BQ76" s="1229"/>
      <c r="BR76" s="1229"/>
      <c r="BS76" s="1229"/>
      <c r="BT76" s="1229"/>
      <c r="BU76" s="1229"/>
      <c r="BV76" s="1229"/>
      <c r="BW76" s="1229"/>
      <c r="BX76" s="1229"/>
      <c r="BY76" s="1229"/>
      <c r="BZ76" s="1231"/>
      <c r="CA76" s="1231"/>
      <c r="CB76" s="1231"/>
      <c r="CC76" s="431"/>
      <c r="CD76" s="1203"/>
      <c r="CE76" s="1203"/>
      <c r="CF76" s="1203"/>
      <c r="CG76" s="1203"/>
      <c r="CH76" s="1204"/>
      <c r="CI76" s="1201"/>
      <c r="CJ76" s="1201"/>
      <c r="CK76" s="1201"/>
      <c r="CL76" s="1204"/>
      <c r="CM76" s="1219"/>
      <c r="CN76" s="1219"/>
      <c r="CO76" s="1219"/>
      <c r="CP76" s="1204"/>
      <c r="CQ76" s="1222"/>
      <c r="CR76" s="1222"/>
      <c r="CS76" s="1222"/>
      <c r="CT76" s="1222"/>
      <c r="CU76" s="1222"/>
      <c r="CV76" s="1222"/>
      <c r="CW76" s="1222"/>
      <c r="CX76" s="186">
        <f>CONCATENATE(IF(CX75&lt;&gt;0,CONCATENATE(IF(CX75&gt;0,"+",""),CX75,"Env."),""),IF(CY75&lt;&gt;0,CONCATENATE(IF(CY75&gt;0,"+",""),CY75,"Misc"),""),IF(CZ75&lt;&gt;0,CONCATENATE(IF(CZ75&gt;0,"+",""),CZ75,"Size"),""),IF(DA75&lt;&gt;0,CONCATENATE(IF(DA75&gt;0,"+",""),DA75,"Race"),""),IF(DB75&lt;&gt;0,CONCATENATE(IF(DB75&gt;0,"+",""),DB75,"Cmp."),""),IF(DC75&lt;&gt;0,CONCATENATE(IF(DC75&gt;0,"+",""),DC75),""),IF(DE75="-","",IF(DE75=0,"",CONCATENATE(DE75,"ACP"))))</f>
      </c>
      <c r="CY76" s="186"/>
      <c r="CZ76" s="186"/>
      <c r="DA76" s="186"/>
      <c r="DB76" s="186"/>
      <c r="DG76" s="192"/>
      <c r="DH76" s="1197"/>
      <c r="DI76" s="1194"/>
      <c r="DJ76" s="1688"/>
      <c r="DK76" s="1688"/>
    </row>
    <row r="77" spans="1:115" ht="10.5" customHeight="1" thickBot="1">
      <c r="A77" s="1256"/>
      <c r="B77" s="1257"/>
      <c r="C77" s="1257"/>
      <c r="D77" s="1257"/>
      <c r="E77" s="1257"/>
      <c r="F77" s="1257"/>
      <c r="G77" s="1257"/>
      <c r="H77" s="1257"/>
      <c r="I77" s="1257"/>
      <c r="J77" s="1257"/>
      <c r="K77" s="1257"/>
      <c r="L77" s="1257"/>
      <c r="M77" s="1257"/>
      <c r="N77" s="1257"/>
      <c r="O77" s="1257"/>
      <c r="P77" s="1257"/>
      <c r="Q77" s="1258"/>
      <c r="R77" s="1479" t="s">
        <v>698</v>
      </c>
      <c r="S77" s="1480"/>
      <c r="T77" s="1480"/>
      <c r="U77" s="1480"/>
      <c r="V77" s="1480"/>
      <c r="W77" s="1480"/>
      <c r="X77" s="1480"/>
      <c r="Y77" s="1480"/>
      <c r="Z77" s="1480"/>
      <c r="AA77" s="1480"/>
      <c r="AB77" s="1480"/>
      <c r="AC77" s="1480"/>
      <c r="AD77" s="1480"/>
      <c r="AE77" s="1480"/>
      <c r="AF77" s="1480"/>
      <c r="AG77" s="1480"/>
      <c r="AH77" s="1480"/>
      <c r="AI77" s="1480"/>
      <c r="AJ77" s="1481"/>
      <c r="AK77" s="1260" t="s">
        <v>635</v>
      </c>
      <c r="AL77" s="1261"/>
      <c r="AM77" s="1261"/>
      <c r="AN77" s="1261"/>
      <c r="AO77" s="1261"/>
      <c r="AP77" s="1261"/>
      <c r="AQ77" s="1261"/>
      <c r="AR77" s="1261"/>
      <c r="AS77" s="1261"/>
      <c r="AT77" s="1262"/>
      <c r="AU77" s="1260" t="s">
        <v>636</v>
      </c>
      <c r="AV77" s="1261"/>
      <c r="AW77" s="1261"/>
      <c r="AX77" s="1261"/>
      <c r="AY77" s="1261"/>
      <c r="AZ77" s="1261"/>
      <c r="BA77" s="1261"/>
      <c r="BB77" s="1261"/>
      <c r="BC77" s="1261"/>
      <c r="BD77" s="1262"/>
      <c r="BE77" s="212"/>
      <c r="BF77" s="1468">
        <f ca="1">INDIRECT(ADDRESS(ROW(BF77),111+$BF$28))</f>
        <v>26</v>
      </c>
      <c r="BG77" s="1228" t="str">
        <f>IF(BF77=60,"",INDEX('技能'!$B$12:$B$70,BF77))</f>
        <v>Linguistics</v>
      </c>
      <c r="BH77" s="1228"/>
      <c r="BI77" s="1228"/>
      <c r="BJ77" s="1228"/>
      <c r="BK77" s="1228"/>
      <c r="BL77" s="1228"/>
      <c r="BM77" s="1228"/>
      <c r="BN77" s="1228"/>
      <c r="BO77" s="1228"/>
      <c r="BP77" s="1228"/>
      <c r="BQ77" s="1228"/>
      <c r="BR77" s="1228"/>
      <c r="BS77" s="1228"/>
      <c r="BT77" s="1228"/>
      <c r="BU77" s="1228"/>
      <c r="BV77" s="1228"/>
      <c r="BW77" s="1228"/>
      <c r="BX77" s="1228"/>
      <c r="BY77" s="1228"/>
      <c r="BZ77" s="1230" t="str">
        <f>IF(BF77=60,"",INDEX('技能'!$D$12:$D$70,BF77))</f>
        <v>INT</v>
      </c>
      <c r="CA77" s="1230"/>
      <c r="CB77" s="1230"/>
      <c r="CC77" s="431">
        <f>IF(BF77=60,"",IF(INDEX('技能'!$P$12:$P$70,BF77)=0,"*",""))</f>
      </c>
      <c r="CD77" s="1202" t="str">
        <f>IF(BF77=60,"",IF(BZ77="なし","-",INDEX('技能'!$E$12:$E$70,BF77)))</f>
        <v>-</v>
      </c>
      <c r="CE77" s="1202"/>
      <c r="CF77" s="1202"/>
      <c r="CG77" s="1202"/>
      <c r="CH77" s="1204" t="s">
        <v>213</v>
      </c>
      <c r="CI77" s="1227">
        <f>IF(BF77=60,"",IF(BZ77="なし","-",INDEX('技能'!$F$12:$F$70,BF77)))</f>
        <v>0</v>
      </c>
      <c r="CJ77" s="1227"/>
      <c r="CK77" s="1227"/>
      <c r="CL77" s="1204" t="s">
        <v>214</v>
      </c>
      <c r="CM77" s="1218">
        <f>IF(BF77=60,"",IF(INDEX('技能'!$G$12:$G$70,BF77)&lt;&gt;0,INDEX('技能'!$O$12:$O$70,BF77)&amp;"#",INDEX('技能'!$O$12:$O$70,BF77)))</f>
        <v>0</v>
      </c>
      <c r="CN77" s="1218"/>
      <c r="CO77" s="1218"/>
      <c r="CP77" s="1204"/>
      <c r="CQ77" s="1220">
        <f>IF(BF77=60,"",IF(LEN(CX78)&lt;=14,CX78,CONCATENATE(IF(SUM(CX77:DD77)&gt;=0,"+",""),SUM(CX77:DD77),"(Total)")))</f>
      </c>
      <c r="CR77" s="1221"/>
      <c r="CS77" s="1221"/>
      <c r="CT77" s="1221"/>
      <c r="CU77" s="1221"/>
      <c r="CV77" s="1221"/>
      <c r="CW77" s="1221"/>
      <c r="CX77" s="186">
        <f>INDEX('技能'!$J$12:$J$71,' 印刷'!BF77)</f>
        <v>0</v>
      </c>
      <c r="CY77" s="186">
        <f>INDEX('技能'!$K$12:$K$71,BF77)</f>
        <v>0</v>
      </c>
      <c r="CZ77" s="186">
        <f>INDEX('技能'!$L$12:$L$71,BF77)</f>
        <v>0</v>
      </c>
      <c r="DA77" s="186">
        <f>INDEX('技能'!$M$12:$M$71,BF77)</f>
        <v>0</v>
      </c>
      <c r="DB77" s="186">
        <f>INDEX('技能'!$I$12:$I$71,BF77)</f>
        <v>0</v>
      </c>
      <c r="DC77" s="186">
        <f>INDEX('技能'!$H$12:$H$71,BF77)</f>
        <v>0</v>
      </c>
      <c r="DD77" s="186">
        <f>INDEX('技能'!$G$12:$G$71,BF77)</f>
        <v>0</v>
      </c>
      <c r="DE77" s="186" t="str">
        <f>INDEX('技能'!$P$12:$P$71,BF77)</f>
        <v>-</v>
      </c>
      <c r="DF77" s="351" t="str">
        <f>INDEX('技能'!$N$12:$N$71,BF77)</f>
        <v>No</v>
      </c>
      <c r="DG77" s="192"/>
      <c r="DH77" s="1197">
        <v>26</v>
      </c>
      <c r="DI77" s="1194">
        <v>33</v>
      </c>
      <c r="DJ77" s="1688"/>
      <c r="DK77" s="1688"/>
    </row>
    <row r="78" spans="1:115" ht="10.5" customHeight="1">
      <c r="A78" s="1579" t="str">
        <f>IF(R76=10,"",INDEX('能力'!$G$98:$G$106,R76))</f>
        <v>Adamantine Halbard +2</v>
      </c>
      <c r="B78" s="1579"/>
      <c r="C78" s="1579"/>
      <c r="D78" s="1579"/>
      <c r="E78" s="1579"/>
      <c r="F78" s="1579"/>
      <c r="G78" s="1579"/>
      <c r="H78" s="1579"/>
      <c r="I78" s="1579"/>
      <c r="J78" s="1579"/>
      <c r="K78" s="1579"/>
      <c r="L78" s="1579"/>
      <c r="M78" s="1579"/>
      <c r="N78" s="1579"/>
      <c r="O78" s="1579"/>
      <c r="P78" s="1579"/>
      <c r="Q78" s="1579"/>
      <c r="R78" s="1284" t="str">
        <f>IF(R76=10,"",IF(S76&gt;0,"+","")&amp;S76&amp;IF($AU$65&gt;=6,"/"&amp;IF(S76-5&gt;=0,"+","")&amp;(S76-5),"")&amp;IF($AU$65&gt;=11,"/"&amp;IF(S76-10&gt;=0,"+","")&amp;(S76-10),"")&amp;IF($AU$65&gt;=16,"/"&amp;IF(S76-15&gt;=0,"+","")&amp;(S76-15),""))</f>
        <v>+21/+16/+11</v>
      </c>
      <c r="S78" s="1284"/>
      <c r="T78" s="1284"/>
      <c r="U78" s="1284"/>
      <c r="V78" s="1284"/>
      <c r="W78" s="1284"/>
      <c r="X78" s="1284"/>
      <c r="Y78" s="1284"/>
      <c r="Z78" s="1284"/>
      <c r="AA78" s="1284"/>
      <c r="AB78" s="1284"/>
      <c r="AC78" s="1284"/>
      <c r="AD78" s="1284"/>
      <c r="AE78" s="1284"/>
      <c r="AF78" s="1284"/>
      <c r="AG78" s="1284"/>
      <c r="AH78" s="1284"/>
      <c r="AI78" s="1284"/>
      <c r="AJ78" s="1284"/>
      <c r="AK78" s="1602" t="str">
        <f>IF(R76=10,"",CONCATENATE(INDEX('能力'!$AL$98:$AL$106,R76),INDEX('能力'!$AO$98:$AO$106,R76)))</f>
        <v>1d10+10</v>
      </c>
      <c r="AL78" s="1602"/>
      <c r="AM78" s="1602"/>
      <c r="AN78" s="1602"/>
      <c r="AO78" s="1602"/>
      <c r="AP78" s="1602"/>
      <c r="AQ78" s="1602"/>
      <c r="AR78" s="1602"/>
      <c r="AS78" s="1602"/>
      <c r="AT78" s="1602"/>
      <c r="AU78" s="1482" t="str">
        <f>IF(R76=10,"",CONCATENATE(IF(INDEX('能力'!$BC$98:$BC$106,R76)=20,"",CONCATENATE(INDEX('能力'!$BC$98:$BC$106,R76),"/")),INDEX('能力'!$BA$98:$BA$106,R76)))</f>
        <v>19-20/x3</v>
      </c>
      <c r="AV78" s="1482"/>
      <c r="AW78" s="1482"/>
      <c r="AX78" s="1482"/>
      <c r="AY78" s="1482"/>
      <c r="AZ78" s="1482"/>
      <c r="BA78" s="1482"/>
      <c r="BB78" s="1482"/>
      <c r="BC78" s="1482"/>
      <c r="BD78" s="1482"/>
      <c r="BE78" s="192"/>
      <c r="BF78" s="1468"/>
      <c r="BG78" s="1229"/>
      <c r="BH78" s="1229"/>
      <c r="BI78" s="1229"/>
      <c r="BJ78" s="1229"/>
      <c r="BK78" s="1229"/>
      <c r="BL78" s="1229"/>
      <c r="BM78" s="1229"/>
      <c r="BN78" s="1229"/>
      <c r="BO78" s="1229"/>
      <c r="BP78" s="1229"/>
      <c r="BQ78" s="1229"/>
      <c r="BR78" s="1229"/>
      <c r="BS78" s="1229"/>
      <c r="BT78" s="1229"/>
      <c r="BU78" s="1229"/>
      <c r="BV78" s="1229"/>
      <c r="BW78" s="1229"/>
      <c r="BX78" s="1229"/>
      <c r="BY78" s="1229"/>
      <c r="BZ78" s="1231"/>
      <c r="CA78" s="1231"/>
      <c r="CB78" s="1231"/>
      <c r="CC78" s="431"/>
      <c r="CD78" s="1203"/>
      <c r="CE78" s="1203"/>
      <c r="CF78" s="1203"/>
      <c r="CG78" s="1203"/>
      <c r="CH78" s="1204"/>
      <c r="CI78" s="1201"/>
      <c r="CJ78" s="1201"/>
      <c r="CK78" s="1201"/>
      <c r="CL78" s="1204"/>
      <c r="CM78" s="1219"/>
      <c r="CN78" s="1219"/>
      <c r="CO78" s="1219"/>
      <c r="CP78" s="1204"/>
      <c r="CQ78" s="1222"/>
      <c r="CR78" s="1222"/>
      <c r="CS78" s="1222"/>
      <c r="CT78" s="1222"/>
      <c r="CU78" s="1222"/>
      <c r="CV78" s="1222"/>
      <c r="CW78" s="1222"/>
      <c r="CX78" s="186">
        <f>CONCATENATE(IF(CX77&lt;&gt;0,CONCATENATE(IF(CX77&gt;0,"+",""),CX77,"Env."),""),IF(CY77&lt;&gt;0,CONCATENATE(IF(CY77&gt;0,"+",""),CY77,"Misc"),""),IF(CZ77&lt;&gt;0,CONCATENATE(IF(CZ77&gt;0,"+",""),CZ77,"Size"),""),IF(DA77&lt;&gt;0,CONCATENATE(IF(DA77&gt;0,"+",""),DA77,"Race"),""),IF(DB77&lt;&gt;0,CONCATENATE(IF(DB77&gt;0,"+",""),DB77,"Cmp."),""),IF(DC77&lt;&gt;0,CONCATENATE(IF(DC77&gt;0,"+",""),DC77),""),IF(DE77="-","",IF(DE77=0,"",CONCATENATE(DE77,"ACP"))))</f>
      </c>
      <c r="CY78" s="186"/>
      <c r="CZ78" s="186"/>
      <c r="DA78" s="186"/>
      <c r="DB78" s="186"/>
      <c r="DG78" s="192"/>
      <c r="DH78" s="1197"/>
      <c r="DI78" s="1194"/>
      <c r="DJ78" s="1688"/>
      <c r="DK78" s="1688"/>
    </row>
    <row r="79" spans="1:115" ht="10.5" customHeight="1">
      <c r="A79" s="1580"/>
      <c r="B79" s="1580"/>
      <c r="C79" s="1580"/>
      <c r="D79" s="1580"/>
      <c r="E79" s="1580"/>
      <c r="F79" s="1580"/>
      <c r="G79" s="1580"/>
      <c r="H79" s="1580"/>
      <c r="I79" s="1580"/>
      <c r="J79" s="1580"/>
      <c r="K79" s="1580"/>
      <c r="L79" s="1580"/>
      <c r="M79" s="1580"/>
      <c r="N79" s="1580"/>
      <c r="O79" s="1580"/>
      <c r="P79" s="1580"/>
      <c r="Q79" s="1580"/>
      <c r="R79" s="1285"/>
      <c r="S79" s="1285"/>
      <c r="T79" s="1285"/>
      <c r="U79" s="1285"/>
      <c r="V79" s="1285"/>
      <c r="W79" s="1285"/>
      <c r="X79" s="1285"/>
      <c r="Y79" s="1285"/>
      <c r="Z79" s="1285"/>
      <c r="AA79" s="1285"/>
      <c r="AB79" s="1285"/>
      <c r="AC79" s="1285"/>
      <c r="AD79" s="1285"/>
      <c r="AE79" s="1285"/>
      <c r="AF79" s="1285"/>
      <c r="AG79" s="1285"/>
      <c r="AH79" s="1285"/>
      <c r="AI79" s="1285"/>
      <c r="AJ79" s="1285"/>
      <c r="AK79" s="1603"/>
      <c r="AL79" s="1603"/>
      <c r="AM79" s="1603"/>
      <c r="AN79" s="1603"/>
      <c r="AO79" s="1603"/>
      <c r="AP79" s="1603"/>
      <c r="AQ79" s="1603"/>
      <c r="AR79" s="1603"/>
      <c r="AS79" s="1603"/>
      <c r="AT79" s="1603"/>
      <c r="AU79" s="1483"/>
      <c r="AV79" s="1483"/>
      <c r="AW79" s="1483"/>
      <c r="AX79" s="1483"/>
      <c r="AY79" s="1483"/>
      <c r="AZ79" s="1483"/>
      <c r="BA79" s="1483"/>
      <c r="BB79" s="1483"/>
      <c r="BC79" s="1483"/>
      <c r="BD79" s="1483"/>
      <c r="BE79" s="192"/>
      <c r="BF79" s="1468">
        <f ca="1">INDIRECT(ADDRESS(ROW(BF79),111+$BF$28))</f>
        <v>27</v>
      </c>
      <c r="BG79" s="1228" t="str">
        <f>IF(BF79=60,"",INDEX('技能'!$B$12:$B$70,BF79))</f>
        <v>Perception</v>
      </c>
      <c r="BH79" s="1228"/>
      <c r="BI79" s="1228"/>
      <c r="BJ79" s="1228"/>
      <c r="BK79" s="1228"/>
      <c r="BL79" s="1228"/>
      <c r="BM79" s="1228"/>
      <c r="BN79" s="1228"/>
      <c r="BO79" s="1228"/>
      <c r="BP79" s="1228"/>
      <c r="BQ79" s="1228"/>
      <c r="BR79" s="1228"/>
      <c r="BS79" s="1228"/>
      <c r="BT79" s="1228"/>
      <c r="BU79" s="1228"/>
      <c r="BV79" s="1228"/>
      <c r="BW79" s="1228"/>
      <c r="BX79" s="1228"/>
      <c r="BY79" s="1228"/>
      <c r="BZ79" s="1230" t="str">
        <f>IF(BF79=60,"",INDEX('技能'!$D$12:$D$70,BF79))</f>
        <v>WIS</v>
      </c>
      <c r="CA79" s="1230"/>
      <c r="CB79" s="1230"/>
      <c r="CC79" s="431">
        <f>IF(BF79=60,"",IF(INDEX('技能'!$P$12:$P$70,BF79)=0,"*",""))</f>
      </c>
      <c r="CD79" s="1202">
        <f>IF(BF79=60,"",IF(BZ79="なし","-",INDEX('技能'!$E$12:$E$70,BF79)))</f>
        <v>0</v>
      </c>
      <c r="CE79" s="1202"/>
      <c r="CF79" s="1202"/>
      <c r="CG79" s="1202"/>
      <c r="CH79" s="1204" t="s">
        <v>213</v>
      </c>
      <c r="CI79" s="1227">
        <f>IF(BF79=60,"",IF(BZ79="なし","-",INDEX('技能'!$F$12:$F$70,BF79)))</f>
        <v>0</v>
      </c>
      <c r="CJ79" s="1227"/>
      <c r="CK79" s="1227"/>
      <c r="CL79" s="1204" t="s">
        <v>214</v>
      </c>
      <c r="CM79" s="1218">
        <f>IF(BF79=60,"",IF(INDEX('技能'!$G$12:$G$70,BF79)&lt;&gt;0,INDEX('技能'!$O$12:$O$70,BF79)&amp;"#",INDEX('技能'!$O$12:$O$70,BF79)))</f>
        <v>0</v>
      </c>
      <c r="CN79" s="1218"/>
      <c r="CO79" s="1218"/>
      <c r="CP79" s="1204"/>
      <c r="CQ79" s="1220">
        <f>IF(BF79=60,"",IF(LEN(CX80)&lt;=14,CX80,CONCATENATE(IF(SUM(CX79:DD79)&gt;=0,"+",""),SUM(CX79:DD79),"(Total)")))</f>
      </c>
      <c r="CR79" s="1221"/>
      <c r="CS79" s="1221"/>
      <c r="CT79" s="1221"/>
      <c r="CU79" s="1221"/>
      <c r="CV79" s="1221"/>
      <c r="CW79" s="1221"/>
      <c r="CX79" s="186">
        <f>INDEX('技能'!$J$12:$J$71,' 印刷'!BF79)</f>
        <v>0</v>
      </c>
      <c r="CY79" s="186">
        <f>INDEX('技能'!$K$12:$K$71,BF79)</f>
        <v>0</v>
      </c>
      <c r="CZ79" s="186">
        <f>INDEX('技能'!$L$12:$L$71,BF79)</f>
        <v>0</v>
      </c>
      <c r="DA79" s="186">
        <f>INDEX('技能'!$M$12:$M$71,BF79)</f>
        <v>0</v>
      </c>
      <c r="DB79" s="186">
        <f>INDEX('技能'!$I$12:$I$71,BF79)</f>
        <v>0</v>
      </c>
      <c r="DC79" s="186">
        <f>INDEX('技能'!$H$12:$H$71,BF79)</f>
        <v>0</v>
      </c>
      <c r="DD79" s="186">
        <f>INDEX('技能'!$G$12:$G$71,BF79)</f>
        <v>0</v>
      </c>
      <c r="DE79" s="186" t="str">
        <f>INDEX('技能'!$P$12:$P$71,BF79)</f>
        <v>-</v>
      </c>
      <c r="DF79" s="351" t="str">
        <f>INDEX('技能'!$N$12:$N$71,BF79)</f>
        <v>Yes</v>
      </c>
      <c r="DG79" s="192"/>
      <c r="DH79" s="1197">
        <v>27</v>
      </c>
      <c r="DI79" s="1194">
        <v>34</v>
      </c>
      <c r="DJ79" s="1688"/>
      <c r="DK79" s="1688"/>
    </row>
    <row r="80" spans="1:115" ht="10.5" customHeight="1" thickBot="1">
      <c r="A80" s="1581"/>
      <c r="B80" s="1581"/>
      <c r="C80" s="1581"/>
      <c r="D80" s="1581"/>
      <c r="E80" s="1581"/>
      <c r="F80" s="1581"/>
      <c r="G80" s="1581"/>
      <c r="H80" s="1581"/>
      <c r="I80" s="1581"/>
      <c r="J80" s="1581"/>
      <c r="K80" s="1581"/>
      <c r="L80" s="1581"/>
      <c r="M80" s="1581"/>
      <c r="N80" s="1581"/>
      <c r="O80" s="1581"/>
      <c r="P80" s="1581"/>
      <c r="Q80" s="1581"/>
      <c r="R80" s="1286"/>
      <c r="S80" s="1286"/>
      <c r="T80" s="1286"/>
      <c r="U80" s="1286"/>
      <c r="V80" s="1286"/>
      <c r="W80" s="1286"/>
      <c r="X80" s="1286"/>
      <c r="Y80" s="1286"/>
      <c r="Z80" s="1286"/>
      <c r="AA80" s="1286"/>
      <c r="AB80" s="1286"/>
      <c r="AC80" s="1286"/>
      <c r="AD80" s="1286"/>
      <c r="AE80" s="1286"/>
      <c r="AF80" s="1286"/>
      <c r="AG80" s="1286"/>
      <c r="AH80" s="1286"/>
      <c r="AI80" s="1286"/>
      <c r="AJ80" s="1286"/>
      <c r="AK80" s="1604"/>
      <c r="AL80" s="1604"/>
      <c r="AM80" s="1604"/>
      <c r="AN80" s="1604"/>
      <c r="AO80" s="1604"/>
      <c r="AP80" s="1604"/>
      <c r="AQ80" s="1604"/>
      <c r="AR80" s="1604"/>
      <c r="AS80" s="1604"/>
      <c r="AT80" s="1604"/>
      <c r="AU80" s="1484"/>
      <c r="AV80" s="1484"/>
      <c r="AW80" s="1484"/>
      <c r="AX80" s="1484"/>
      <c r="AY80" s="1484"/>
      <c r="AZ80" s="1484"/>
      <c r="BA80" s="1484"/>
      <c r="BB80" s="1484"/>
      <c r="BC80" s="1484"/>
      <c r="BD80" s="1484"/>
      <c r="BE80" s="192"/>
      <c r="BF80" s="1468"/>
      <c r="BG80" s="1229"/>
      <c r="BH80" s="1229"/>
      <c r="BI80" s="1229"/>
      <c r="BJ80" s="1229"/>
      <c r="BK80" s="1229"/>
      <c r="BL80" s="1229"/>
      <c r="BM80" s="1229"/>
      <c r="BN80" s="1229"/>
      <c r="BO80" s="1229"/>
      <c r="BP80" s="1229"/>
      <c r="BQ80" s="1229"/>
      <c r="BR80" s="1229"/>
      <c r="BS80" s="1229"/>
      <c r="BT80" s="1229"/>
      <c r="BU80" s="1229"/>
      <c r="BV80" s="1229"/>
      <c r="BW80" s="1229"/>
      <c r="BX80" s="1229"/>
      <c r="BY80" s="1229"/>
      <c r="BZ80" s="1231"/>
      <c r="CA80" s="1231"/>
      <c r="CB80" s="1231"/>
      <c r="CC80" s="431"/>
      <c r="CD80" s="1203"/>
      <c r="CE80" s="1203"/>
      <c r="CF80" s="1203"/>
      <c r="CG80" s="1203"/>
      <c r="CH80" s="1204"/>
      <c r="CI80" s="1201"/>
      <c r="CJ80" s="1201"/>
      <c r="CK80" s="1201"/>
      <c r="CL80" s="1204"/>
      <c r="CM80" s="1219"/>
      <c r="CN80" s="1219"/>
      <c r="CO80" s="1219"/>
      <c r="CP80" s="1204"/>
      <c r="CQ80" s="1222"/>
      <c r="CR80" s="1222"/>
      <c r="CS80" s="1222"/>
      <c r="CT80" s="1222"/>
      <c r="CU80" s="1222"/>
      <c r="CV80" s="1222"/>
      <c r="CW80" s="1222"/>
      <c r="CX80" s="186">
        <f>CONCATENATE(IF(CX79&lt;&gt;0,CONCATENATE(IF(CX79&gt;0,"+",""),CX79,"Env."),""),IF(CY79&lt;&gt;0,CONCATENATE(IF(CY79&gt;0,"+",""),CY79,"Misc"),""),IF(CZ79&lt;&gt;0,CONCATENATE(IF(CZ79&gt;0,"+",""),CZ79,"Size"),""),IF(DA79&lt;&gt;0,CONCATENATE(IF(DA79&gt;0,"+",""),DA79,"Race"),""),IF(DB79&lt;&gt;0,CONCATENATE(IF(DB79&gt;0,"+",""),DB79,"Cmp."),""),IF(DC79&lt;&gt;0,CONCATENATE(IF(DC79&gt;0,"+",""),DC79),""),IF(DE79="-","",IF(DE79=0,"",CONCATENATE(DE79,"ACP"))))</f>
      </c>
      <c r="CY80" s="186"/>
      <c r="CZ80" s="186"/>
      <c r="DA80" s="186"/>
      <c r="DB80" s="186"/>
      <c r="DG80" s="192"/>
      <c r="DH80" s="1197"/>
      <c r="DI80" s="1194"/>
      <c r="DJ80" s="1688"/>
      <c r="DK80" s="1688"/>
    </row>
    <row r="81" spans="1:115" ht="10.5" customHeight="1" thickBot="1">
      <c r="A81" s="1281" t="s">
        <v>699</v>
      </c>
      <c r="B81" s="1282"/>
      <c r="C81" s="1282"/>
      <c r="D81" s="1282"/>
      <c r="E81" s="1282"/>
      <c r="F81" s="1283"/>
      <c r="G81" s="1281" t="s">
        <v>700</v>
      </c>
      <c r="H81" s="1282"/>
      <c r="I81" s="1282"/>
      <c r="J81" s="1282"/>
      <c r="K81" s="1283"/>
      <c r="L81" s="1281" t="s">
        <v>701</v>
      </c>
      <c r="M81" s="1282"/>
      <c r="N81" s="1282"/>
      <c r="O81" s="1282"/>
      <c r="P81" s="1282"/>
      <c r="Q81" s="1282"/>
      <c r="R81" s="1282"/>
      <c r="S81" s="1282"/>
      <c r="T81" s="1283"/>
      <c r="U81" s="1281" t="s">
        <v>702</v>
      </c>
      <c r="V81" s="1282"/>
      <c r="W81" s="1282"/>
      <c r="X81" s="1282"/>
      <c r="Y81" s="1282"/>
      <c r="Z81" s="1283"/>
      <c r="AA81" s="1282" t="s">
        <v>703</v>
      </c>
      <c r="AB81" s="1282"/>
      <c r="AC81" s="1282"/>
      <c r="AD81" s="1282"/>
      <c r="AE81" s="1282"/>
      <c r="AF81" s="1282"/>
      <c r="AG81" s="1282"/>
      <c r="AH81" s="1282"/>
      <c r="AI81" s="1282"/>
      <c r="AJ81" s="1282"/>
      <c r="AK81" s="1282"/>
      <c r="AL81" s="1282"/>
      <c r="AM81" s="1282"/>
      <c r="AN81" s="1282"/>
      <c r="AO81" s="1282"/>
      <c r="AP81" s="1282"/>
      <c r="AQ81" s="1282"/>
      <c r="AR81" s="1282"/>
      <c r="AS81" s="1282"/>
      <c r="AT81" s="1282"/>
      <c r="AU81" s="1282"/>
      <c r="AV81" s="1282"/>
      <c r="AW81" s="1282"/>
      <c r="AX81" s="1282"/>
      <c r="AY81" s="1282"/>
      <c r="AZ81" s="1282"/>
      <c r="BA81" s="1282"/>
      <c r="BB81" s="1282"/>
      <c r="BC81" s="1282"/>
      <c r="BD81" s="1282"/>
      <c r="BE81" s="212"/>
      <c r="BF81" s="1468">
        <f ca="1">INDIRECT(ADDRESS(ROW(BF81),111+$BF$28))</f>
        <v>28</v>
      </c>
      <c r="BG81" s="1228" t="str">
        <f>IF(BF81=60,"",INDEX('技能'!$B$12:$B$70,BF81))</f>
        <v>Perform: </v>
      </c>
      <c r="BH81" s="1228"/>
      <c r="BI81" s="1228"/>
      <c r="BJ81" s="1228"/>
      <c r="BK81" s="1228"/>
      <c r="BL81" s="1228"/>
      <c r="BM81" s="1228"/>
      <c r="BN81" s="1228"/>
      <c r="BO81" s="1228"/>
      <c r="BP81" s="1228"/>
      <c r="BQ81" s="1228"/>
      <c r="BR81" s="1228"/>
      <c r="BS81" s="1228"/>
      <c r="BT81" s="1228"/>
      <c r="BU81" s="1228"/>
      <c r="BV81" s="1228"/>
      <c r="BW81" s="1228"/>
      <c r="BX81" s="1228"/>
      <c r="BY81" s="1228"/>
      <c r="BZ81" s="1230" t="str">
        <f>IF(BF81=60,"",INDEX('技能'!$D$12:$D$70,BF81))</f>
        <v>CHA</v>
      </c>
      <c r="CA81" s="1230"/>
      <c r="CB81" s="1230"/>
      <c r="CC81" s="431">
        <f>IF(BF81=60,"",IF(INDEX('技能'!$P$12:$P$70,BF81)=0,"*",""))</f>
      </c>
      <c r="CD81" s="1202">
        <f>IF(BF81=60,"",IF(BZ81="なし","-",INDEX('技能'!$E$12:$E$70,BF81)))</f>
        <v>0</v>
      </c>
      <c r="CE81" s="1202"/>
      <c r="CF81" s="1202"/>
      <c r="CG81" s="1202"/>
      <c r="CH81" s="1204" t="s">
        <v>213</v>
      </c>
      <c r="CI81" s="1227">
        <f>IF(BF81=60,"",IF(BZ81="なし","-",INDEX('技能'!$F$12:$F$70,BF81)))</f>
        <v>0</v>
      </c>
      <c r="CJ81" s="1227"/>
      <c r="CK81" s="1227"/>
      <c r="CL81" s="1204" t="s">
        <v>214</v>
      </c>
      <c r="CM81" s="1218">
        <f>IF(BF81=60,"",IF(INDEX('技能'!$G$12:$G$70,BF81)&lt;&gt;0,INDEX('技能'!$O$12:$O$70,BF81)&amp;"#",INDEX('技能'!$O$12:$O$70,BF81)))</f>
        <v>0</v>
      </c>
      <c r="CN81" s="1218"/>
      <c r="CO81" s="1218"/>
      <c r="CP81" s="1204"/>
      <c r="CQ81" s="1220">
        <f>IF(BF81=60,"",IF(LEN(CX82)&lt;=14,CX82,CONCATENATE(IF(SUM(CX81:DD81)&gt;=0,"+",""),SUM(CX81:DD81),"(Total)")))</f>
      </c>
      <c r="CR81" s="1221"/>
      <c r="CS81" s="1221"/>
      <c r="CT81" s="1221"/>
      <c r="CU81" s="1221"/>
      <c r="CV81" s="1221"/>
      <c r="CW81" s="1221"/>
      <c r="CX81" s="186">
        <f>INDEX('技能'!$J$12:$J$71,' 印刷'!BF81)</f>
        <v>0</v>
      </c>
      <c r="CY81" s="186">
        <f>INDEX('技能'!$K$12:$K$71,BF81)</f>
        <v>0</v>
      </c>
      <c r="CZ81" s="186">
        <f>INDEX('技能'!$L$12:$L$71,BF81)</f>
        <v>0</v>
      </c>
      <c r="DA81" s="186">
        <f>INDEX('技能'!$M$12:$M$71,BF81)</f>
        <v>0</v>
      </c>
      <c r="DB81" s="186">
        <f>INDEX('技能'!$I$12:$I$71,BF81)</f>
        <v>0</v>
      </c>
      <c r="DC81" s="186">
        <f>INDEX('技能'!$H$12:$H$71,BF81)</f>
        <v>0</v>
      </c>
      <c r="DD81" s="186">
        <f>INDEX('技能'!$G$12:$G$71,BF81)</f>
        <v>0</v>
      </c>
      <c r="DE81" s="186" t="str">
        <f>INDEX('技能'!$P$12:$P$71,BF81)</f>
        <v>-</v>
      </c>
      <c r="DF81" s="351" t="str">
        <f>INDEX('技能'!$N$12:$N$71,BF81)</f>
        <v>Yes</v>
      </c>
      <c r="DG81" s="192"/>
      <c r="DH81" s="1197">
        <v>28</v>
      </c>
      <c r="DI81" s="1194">
        <v>35</v>
      </c>
      <c r="DJ81" s="1688"/>
      <c r="DK81" s="1688"/>
    </row>
    <row r="82" spans="1:115" ht="10.5" customHeight="1">
      <c r="A82" s="1247" t="str">
        <f>IF(R76=10,"",IF(INDEX('能力'!$AJ$98:$AJ$106,R76)=0,"-",INDEX('能力'!$AJ$98:$AJ$106,R76)))</f>
        <v>5ft.</v>
      </c>
      <c r="B82" s="1247"/>
      <c r="C82" s="1247"/>
      <c r="D82" s="1247"/>
      <c r="E82" s="1247"/>
      <c r="F82" s="1247"/>
      <c r="G82" s="1249">
        <f>IF(R76=10,"",INDEX('能力'!$BE$98:$BE$106,R76))</f>
      </c>
      <c r="H82" s="1249"/>
      <c r="I82" s="1249"/>
      <c r="J82" s="1249"/>
      <c r="K82" s="1249"/>
      <c r="L82" s="1251" t="str">
        <f>IF(R76=10,"",INDEX('能力'!$BU$5:$BU$17,INDEX('能力'!$AX$98:$AX$106,R76)))</f>
        <v>S or P</v>
      </c>
      <c r="M82" s="1251"/>
      <c r="N82" s="1251"/>
      <c r="O82" s="1251"/>
      <c r="P82" s="1251"/>
      <c r="Q82" s="1251"/>
      <c r="R82" s="1251"/>
      <c r="S82" s="1251"/>
      <c r="T82" s="1251"/>
      <c r="U82" s="1247" t="str">
        <f>IF(R76=10,"",INDEX('能力'!$BQ$5:$BQ$14,INDEX('能力'!$AT$98:$AT$106,R76)))</f>
        <v>Medium</v>
      </c>
      <c r="V82" s="1247"/>
      <c r="W82" s="1247"/>
      <c r="X82" s="1247"/>
      <c r="Y82" s="1247"/>
      <c r="Z82" s="1247"/>
      <c r="AA82" s="1245">
        <f>IF(R76=10,"",IF(OR(T76="",T76=0),IF(U76="","",U76),IF(U76="",T76,CONCATENATE(T76,"、",U76))))</f>
      </c>
      <c r="AB82" s="1245"/>
      <c r="AC82" s="1245"/>
      <c r="AD82" s="1245"/>
      <c r="AE82" s="1245"/>
      <c r="AF82" s="1245"/>
      <c r="AG82" s="1245"/>
      <c r="AH82" s="1245"/>
      <c r="AI82" s="1245"/>
      <c r="AJ82" s="1245"/>
      <c r="AK82" s="1245"/>
      <c r="AL82" s="1245"/>
      <c r="AM82" s="1245"/>
      <c r="AN82" s="1245"/>
      <c r="AO82" s="1245"/>
      <c r="AP82" s="1245"/>
      <c r="AQ82" s="1245"/>
      <c r="AR82" s="1245"/>
      <c r="AS82" s="1245"/>
      <c r="AT82" s="1245"/>
      <c r="AU82" s="1245"/>
      <c r="AV82" s="1245"/>
      <c r="AW82" s="1245"/>
      <c r="AX82" s="1245"/>
      <c r="AY82" s="1245"/>
      <c r="AZ82" s="1245"/>
      <c r="BA82" s="1245"/>
      <c r="BB82" s="1245"/>
      <c r="BC82" s="1245"/>
      <c r="BD82" s="1245"/>
      <c r="BE82" s="192"/>
      <c r="BF82" s="1468"/>
      <c r="BG82" s="1229"/>
      <c r="BH82" s="1229"/>
      <c r="BI82" s="1229"/>
      <c r="BJ82" s="1229"/>
      <c r="BK82" s="1229"/>
      <c r="BL82" s="1229"/>
      <c r="BM82" s="1229"/>
      <c r="BN82" s="1229"/>
      <c r="BO82" s="1229"/>
      <c r="BP82" s="1229"/>
      <c r="BQ82" s="1229"/>
      <c r="BR82" s="1229"/>
      <c r="BS82" s="1229"/>
      <c r="BT82" s="1229"/>
      <c r="BU82" s="1229"/>
      <c r="BV82" s="1229"/>
      <c r="BW82" s="1229"/>
      <c r="BX82" s="1229"/>
      <c r="BY82" s="1229"/>
      <c r="BZ82" s="1231"/>
      <c r="CA82" s="1231"/>
      <c r="CB82" s="1231"/>
      <c r="CC82" s="431"/>
      <c r="CD82" s="1203"/>
      <c r="CE82" s="1203"/>
      <c r="CF82" s="1203"/>
      <c r="CG82" s="1203"/>
      <c r="CH82" s="1204"/>
      <c r="CI82" s="1201"/>
      <c r="CJ82" s="1201"/>
      <c r="CK82" s="1201"/>
      <c r="CL82" s="1204"/>
      <c r="CM82" s="1219"/>
      <c r="CN82" s="1219"/>
      <c r="CO82" s="1219"/>
      <c r="CP82" s="1204"/>
      <c r="CQ82" s="1222"/>
      <c r="CR82" s="1222"/>
      <c r="CS82" s="1222"/>
      <c r="CT82" s="1222"/>
      <c r="CU82" s="1222"/>
      <c r="CV82" s="1222"/>
      <c r="CW82" s="1222"/>
      <c r="CX82" s="186">
        <f>CONCATENATE(IF(CX81&lt;&gt;0,CONCATENATE(IF(CX81&gt;0,"+",""),CX81,"Env."),""),IF(CY81&lt;&gt;0,CONCATENATE(IF(CY81&gt;0,"+",""),CY81,"Misc"),""),IF(CZ81&lt;&gt;0,CONCATENATE(IF(CZ81&gt;0,"+",""),CZ81,"Size"),""),IF(DA81&lt;&gt;0,CONCATENATE(IF(DA81&gt;0,"+",""),DA81,"Race"),""),IF(DB81&lt;&gt;0,CONCATENATE(IF(DB81&gt;0,"+",""),DB81,"Cmp."),""),IF(DC81&lt;&gt;0,CONCATENATE(IF(DC81&gt;0,"+",""),DC81),""),IF(DE81="-","",IF(DE81=0,"",CONCATENATE(DE81,"ACP"))))</f>
      </c>
      <c r="CY82" s="186"/>
      <c r="CZ82" s="186"/>
      <c r="DA82" s="186"/>
      <c r="DB82" s="186"/>
      <c r="DG82" s="192"/>
      <c r="DH82" s="1197"/>
      <c r="DI82" s="1194"/>
      <c r="DJ82" s="1688"/>
      <c r="DK82" s="1688"/>
    </row>
    <row r="83" spans="1:115" ht="10.5" customHeight="1" thickBot="1">
      <c r="A83" s="1248"/>
      <c r="B83" s="1248"/>
      <c r="C83" s="1248"/>
      <c r="D83" s="1248"/>
      <c r="E83" s="1248"/>
      <c r="F83" s="1248"/>
      <c r="G83" s="1250"/>
      <c r="H83" s="1250"/>
      <c r="I83" s="1250"/>
      <c r="J83" s="1250"/>
      <c r="K83" s="1250"/>
      <c r="L83" s="1252"/>
      <c r="M83" s="1252"/>
      <c r="N83" s="1252"/>
      <c r="O83" s="1252"/>
      <c r="P83" s="1252"/>
      <c r="Q83" s="1252"/>
      <c r="R83" s="1252"/>
      <c r="S83" s="1252"/>
      <c r="T83" s="1252"/>
      <c r="U83" s="1248"/>
      <c r="V83" s="1248"/>
      <c r="W83" s="1248"/>
      <c r="X83" s="1248"/>
      <c r="Y83" s="1248"/>
      <c r="Z83" s="1248"/>
      <c r="AA83" s="1246"/>
      <c r="AB83" s="1246"/>
      <c r="AC83" s="1246"/>
      <c r="AD83" s="1246"/>
      <c r="AE83" s="1246"/>
      <c r="AF83" s="1246"/>
      <c r="AG83" s="1246"/>
      <c r="AH83" s="1246"/>
      <c r="AI83" s="1246"/>
      <c r="AJ83" s="1246"/>
      <c r="AK83" s="1246"/>
      <c r="AL83" s="1246"/>
      <c r="AM83" s="1246"/>
      <c r="AN83" s="1246"/>
      <c r="AO83" s="1246"/>
      <c r="AP83" s="1246"/>
      <c r="AQ83" s="1246"/>
      <c r="AR83" s="1246"/>
      <c r="AS83" s="1246"/>
      <c r="AT83" s="1246"/>
      <c r="AU83" s="1246"/>
      <c r="AV83" s="1246"/>
      <c r="AW83" s="1246"/>
      <c r="AX83" s="1246"/>
      <c r="AY83" s="1246"/>
      <c r="AZ83" s="1246"/>
      <c r="BA83" s="1246"/>
      <c r="BB83" s="1246"/>
      <c r="BC83" s="1246"/>
      <c r="BD83" s="1246"/>
      <c r="BE83" s="192"/>
      <c r="BF83" s="1468">
        <f ca="1">INDIRECT(ADDRESS(ROW(BF83),111+$BF$28))</f>
        <v>29</v>
      </c>
      <c r="BG83" s="1228" t="str">
        <f>IF(BF83=60,"",INDEX('技能'!$B$12:$B$70,BF83))</f>
        <v>Perform: </v>
      </c>
      <c r="BH83" s="1228"/>
      <c r="BI83" s="1228"/>
      <c r="BJ83" s="1228"/>
      <c r="BK83" s="1228"/>
      <c r="BL83" s="1228"/>
      <c r="BM83" s="1228"/>
      <c r="BN83" s="1228"/>
      <c r="BO83" s="1228"/>
      <c r="BP83" s="1228"/>
      <c r="BQ83" s="1228"/>
      <c r="BR83" s="1228"/>
      <c r="BS83" s="1228"/>
      <c r="BT83" s="1228"/>
      <c r="BU83" s="1228"/>
      <c r="BV83" s="1228"/>
      <c r="BW83" s="1228"/>
      <c r="BX83" s="1228"/>
      <c r="BY83" s="1228"/>
      <c r="BZ83" s="1230" t="str">
        <f>IF(BF83=60,"",INDEX('技能'!$D$12:$D$70,BF83))</f>
        <v>CHA</v>
      </c>
      <c r="CA83" s="1230"/>
      <c r="CB83" s="1230"/>
      <c r="CC83" s="431">
        <f>IF(BF83=60,"",IF(INDEX('技能'!$P$12:$P$70,BF83)=0,"*",""))</f>
      </c>
      <c r="CD83" s="1202">
        <f>IF(BF83=60,"",IF(BZ83="なし","-",INDEX('技能'!$E$12:$E$70,BF83)))</f>
        <v>0</v>
      </c>
      <c r="CE83" s="1202"/>
      <c r="CF83" s="1202"/>
      <c r="CG83" s="1202"/>
      <c r="CH83" s="1204" t="s">
        <v>213</v>
      </c>
      <c r="CI83" s="1227">
        <f>IF(BF83=60,"",IF(BZ83="なし","-",INDEX('技能'!$F$12:$F$70,BF83)))</f>
        <v>0</v>
      </c>
      <c r="CJ83" s="1227"/>
      <c r="CK83" s="1227"/>
      <c r="CL83" s="1204" t="s">
        <v>214</v>
      </c>
      <c r="CM83" s="1218">
        <f>IF(BF83=60,"",IF(INDEX('技能'!$G$12:$G$70,BF83)&lt;&gt;0,INDEX('技能'!$O$12:$O$70,BF83)&amp;"#",INDEX('技能'!$O$12:$O$70,BF83)))</f>
        <v>0</v>
      </c>
      <c r="CN83" s="1218"/>
      <c r="CO83" s="1218"/>
      <c r="CP83" s="1204"/>
      <c r="CQ83" s="1220">
        <f>IF(BF83=60,"",IF(LEN(CX84)&lt;=14,CX84,CONCATENATE(IF(SUM(CX83:DD83)&gt;=0,"+",""),SUM(CX83:DD83),"(Total)")))</f>
      </c>
      <c r="CR83" s="1221"/>
      <c r="CS83" s="1221"/>
      <c r="CT83" s="1221"/>
      <c r="CU83" s="1221"/>
      <c r="CV83" s="1221"/>
      <c r="CW83" s="1221"/>
      <c r="CX83" s="186">
        <f>INDEX('技能'!$J$12:$J$71,' 印刷'!BF83)</f>
        <v>0</v>
      </c>
      <c r="CY83" s="186">
        <f>INDEX('技能'!$K$12:$K$71,BF83)</f>
        <v>0</v>
      </c>
      <c r="CZ83" s="186">
        <f>INDEX('技能'!$L$12:$L$71,BF83)</f>
        <v>0</v>
      </c>
      <c r="DA83" s="186">
        <f>INDEX('技能'!$M$12:$M$71,BF83)</f>
        <v>0</v>
      </c>
      <c r="DB83" s="186">
        <f>INDEX('技能'!$I$12:$I$71,BF83)</f>
        <v>0</v>
      </c>
      <c r="DC83" s="186">
        <f>INDEX('技能'!$H$12:$H$71,BF83)</f>
        <v>0</v>
      </c>
      <c r="DD83" s="186">
        <f>INDEX('技能'!$G$12:$G$71,BF83)</f>
        <v>0</v>
      </c>
      <c r="DE83" s="186" t="str">
        <f>INDEX('技能'!$P$12:$P$71,BF83)</f>
        <v>-</v>
      </c>
      <c r="DF83" s="351" t="str">
        <f>INDEX('技能'!$N$12:$N$71,BF83)</f>
        <v>Yes</v>
      </c>
      <c r="DG83" s="192"/>
      <c r="DH83" s="1197">
        <v>29</v>
      </c>
      <c r="DI83" s="1194">
        <v>36</v>
      </c>
      <c r="DJ83" s="1688"/>
      <c r="DK83" s="1688"/>
    </row>
    <row r="84" spans="1:115" ht="10.5" customHeight="1">
      <c r="A84" s="1259" t="s">
        <v>704</v>
      </c>
      <c r="B84" s="1259"/>
      <c r="C84" s="1259"/>
      <c r="D84" s="1170"/>
      <c r="E84" s="1170"/>
      <c r="F84" s="1170"/>
      <c r="G84" s="1170"/>
      <c r="H84" s="1170"/>
      <c r="I84" s="1170"/>
      <c r="J84" s="1170"/>
      <c r="K84" s="1170"/>
      <c r="L84" s="1170"/>
      <c r="M84" s="1170"/>
      <c r="N84" s="1170"/>
      <c r="O84" s="1170"/>
      <c r="P84" s="1170"/>
      <c r="Q84" s="1170"/>
      <c r="R84" s="1243" t="s">
        <v>705</v>
      </c>
      <c r="S84" s="1244"/>
      <c r="T84" s="1244"/>
      <c r="U84" s="1244"/>
      <c r="V84" s="1244"/>
      <c r="W84" s="1244"/>
      <c r="X84" s="1244"/>
      <c r="Y84" s="1244"/>
      <c r="Z84" s="1244"/>
      <c r="AA84" s="1244"/>
      <c r="AB84" s="1244"/>
      <c r="AC84" s="1244"/>
      <c r="AD84" s="1244"/>
      <c r="AE84" s="1244"/>
      <c r="AF84" s="1244"/>
      <c r="AG84" s="1244"/>
      <c r="AH84" s="1244"/>
      <c r="AI84" s="1244"/>
      <c r="AJ84" s="1244"/>
      <c r="AK84" s="1244"/>
      <c r="AL84" s="1244"/>
      <c r="AM84" s="1244"/>
      <c r="AN84" s="1244"/>
      <c r="AO84" s="1244"/>
      <c r="AP84" s="1244"/>
      <c r="AQ84" s="1244"/>
      <c r="AR84" s="1244"/>
      <c r="AS84" s="1244"/>
      <c r="AT84" s="1244"/>
      <c r="AU84" s="1244"/>
      <c r="AV84" s="1244"/>
      <c r="AW84" s="1244"/>
      <c r="AX84" s="1244"/>
      <c r="AY84" s="1244"/>
      <c r="AZ84" s="1244"/>
      <c r="BA84" s="1244"/>
      <c r="BB84" s="1244"/>
      <c r="BC84" s="1244"/>
      <c r="BD84" s="1244"/>
      <c r="BE84" s="192"/>
      <c r="BF84" s="1468"/>
      <c r="BG84" s="1229"/>
      <c r="BH84" s="1229"/>
      <c r="BI84" s="1229"/>
      <c r="BJ84" s="1229"/>
      <c r="BK84" s="1229"/>
      <c r="BL84" s="1229"/>
      <c r="BM84" s="1229"/>
      <c r="BN84" s="1229"/>
      <c r="BO84" s="1229"/>
      <c r="BP84" s="1229"/>
      <c r="BQ84" s="1229"/>
      <c r="BR84" s="1229"/>
      <c r="BS84" s="1229"/>
      <c r="BT84" s="1229"/>
      <c r="BU84" s="1229"/>
      <c r="BV84" s="1229"/>
      <c r="BW84" s="1229"/>
      <c r="BX84" s="1229"/>
      <c r="BY84" s="1229"/>
      <c r="BZ84" s="1231"/>
      <c r="CA84" s="1231"/>
      <c r="CB84" s="1231"/>
      <c r="CC84" s="431"/>
      <c r="CD84" s="1203"/>
      <c r="CE84" s="1203"/>
      <c r="CF84" s="1203"/>
      <c r="CG84" s="1203"/>
      <c r="CH84" s="1204"/>
      <c r="CI84" s="1201"/>
      <c r="CJ84" s="1201"/>
      <c r="CK84" s="1201"/>
      <c r="CL84" s="1204"/>
      <c r="CM84" s="1219"/>
      <c r="CN84" s="1219"/>
      <c r="CO84" s="1219"/>
      <c r="CP84" s="1204"/>
      <c r="CQ84" s="1222"/>
      <c r="CR84" s="1222"/>
      <c r="CS84" s="1222"/>
      <c r="CT84" s="1222"/>
      <c r="CU84" s="1222"/>
      <c r="CV84" s="1222"/>
      <c r="CW84" s="1222"/>
      <c r="CX84" s="186">
        <f>CONCATENATE(IF(CX83&lt;&gt;0,CONCATENATE(IF(CX83&gt;0,"+",""),CX83,"Env."),""),IF(CY83&lt;&gt;0,CONCATENATE(IF(CY83&gt;0,"+",""),CY83,"Misc"),""),IF(CZ83&lt;&gt;0,CONCATENATE(IF(CZ83&gt;0,"+",""),CZ83,"Size"),""),IF(DA83&lt;&gt;0,CONCATENATE(IF(DA83&gt;0,"+",""),DA83,"Race"),""),IF(DB83&lt;&gt;0,CONCATENATE(IF(DB83&gt;0,"+",""),DB83,"Cmp."),""),IF(DC83&lt;&gt;0,CONCATENATE(IF(DC83&gt;0,"+",""),DC83),""),IF(DE83="-","",IF(DE83=0,"",CONCATENATE(DE83,"ACP"))))</f>
      </c>
      <c r="CY84" s="186"/>
      <c r="CZ84" s="186"/>
      <c r="DA84" s="186"/>
      <c r="DB84" s="186"/>
      <c r="DG84" s="192"/>
      <c r="DH84" s="1197"/>
      <c r="DI84" s="1194"/>
      <c r="DJ84" s="1688"/>
      <c r="DK84" s="1688"/>
    </row>
    <row r="85" spans="1:115" ht="10.5" customHeight="1" thickBot="1">
      <c r="A85" s="431"/>
      <c r="B85" s="431"/>
      <c r="C85" s="431"/>
      <c r="D85" s="431"/>
      <c r="E85" s="431"/>
      <c r="F85" s="431"/>
      <c r="G85" s="431"/>
      <c r="H85" s="431"/>
      <c r="I85" s="431"/>
      <c r="J85" s="431"/>
      <c r="K85" s="431"/>
      <c r="L85" s="431"/>
      <c r="M85" s="431"/>
      <c r="N85" s="431"/>
      <c r="O85" s="431"/>
      <c r="P85" s="431"/>
      <c r="Q85" s="431"/>
      <c r="R85" s="1243" t="s">
        <v>705</v>
      </c>
      <c r="S85" s="1244"/>
      <c r="T85" s="1244"/>
      <c r="U85" s="1244"/>
      <c r="V85" s="1244"/>
      <c r="W85" s="1244"/>
      <c r="X85" s="1244"/>
      <c r="Y85" s="1244"/>
      <c r="Z85" s="1244"/>
      <c r="AA85" s="1244"/>
      <c r="AB85" s="1244"/>
      <c r="AC85" s="1244"/>
      <c r="AD85" s="1244"/>
      <c r="AE85" s="1244"/>
      <c r="AF85" s="1244"/>
      <c r="AG85" s="1244"/>
      <c r="AH85" s="1244"/>
      <c r="AI85" s="1244"/>
      <c r="AJ85" s="1244"/>
      <c r="AK85" s="1244"/>
      <c r="AL85" s="1244"/>
      <c r="AM85" s="1244"/>
      <c r="AN85" s="1244"/>
      <c r="AO85" s="1244"/>
      <c r="AP85" s="1244"/>
      <c r="AQ85" s="1244"/>
      <c r="AR85" s="1244"/>
      <c r="AS85" s="1244"/>
      <c r="AT85" s="1244"/>
      <c r="AU85" s="1244"/>
      <c r="AV85" s="1244"/>
      <c r="AW85" s="1244"/>
      <c r="AX85" s="1244"/>
      <c r="AY85" s="1244"/>
      <c r="AZ85" s="1244"/>
      <c r="BA85" s="1244"/>
      <c r="BB85" s="1244"/>
      <c r="BC85" s="1244"/>
      <c r="BD85" s="1244"/>
      <c r="BE85" s="192"/>
      <c r="BF85" s="1468">
        <f ca="1">INDIRECT(ADDRESS(ROW(BF85),111+$BF$28))</f>
        <v>31</v>
      </c>
      <c r="BG85" s="1228" t="str">
        <f>IF(BF85=60,"",INDEX('技能'!$B$12:$B$70,BF85))</f>
        <v>Profession: </v>
      </c>
      <c r="BH85" s="1228"/>
      <c r="BI85" s="1228"/>
      <c r="BJ85" s="1228"/>
      <c r="BK85" s="1228"/>
      <c r="BL85" s="1228"/>
      <c r="BM85" s="1228"/>
      <c r="BN85" s="1228"/>
      <c r="BO85" s="1228"/>
      <c r="BP85" s="1228"/>
      <c r="BQ85" s="1228"/>
      <c r="BR85" s="1228"/>
      <c r="BS85" s="1228"/>
      <c r="BT85" s="1228"/>
      <c r="BU85" s="1228"/>
      <c r="BV85" s="1228"/>
      <c r="BW85" s="1228"/>
      <c r="BX85" s="1228"/>
      <c r="BY85" s="1228"/>
      <c r="BZ85" s="1230" t="str">
        <f>IF(BF85=60,"",INDEX('技能'!$D$12:$D$70,BF85))</f>
        <v>WIS</v>
      </c>
      <c r="CA85" s="1230"/>
      <c r="CB85" s="1230"/>
      <c r="CC85" s="431">
        <f>IF(BF85=60,"",IF(INDEX('技能'!$P$12:$P$70,BF85)=0,"*",""))</f>
      </c>
      <c r="CD85" s="1202" t="str">
        <f>IF(BF85=60,"",IF(BZ85="なし","-",INDEX('技能'!$E$12:$E$70,BF85)))</f>
        <v>-</v>
      </c>
      <c r="CE85" s="1202"/>
      <c r="CF85" s="1202"/>
      <c r="CG85" s="1202"/>
      <c r="CH85" s="1204" t="s">
        <v>213</v>
      </c>
      <c r="CI85" s="1227">
        <f>IF(BF85=60,"",IF(BZ85="なし","-",INDEX('技能'!$F$12:$F$70,BF85)))</f>
        <v>0</v>
      </c>
      <c r="CJ85" s="1227"/>
      <c r="CK85" s="1227"/>
      <c r="CL85" s="1204" t="s">
        <v>214</v>
      </c>
      <c r="CM85" s="1218">
        <f>IF(BF85=60,"",IF(INDEX('技能'!$G$12:$G$70,BF85)&lt;&gt;0,INDEX('技能'!$O$12:$O$70,BF85)&amp;"#",INDEX('技能'!$O$12:$O$70,BF85)))</f>
        <v>0</v>
      </c>
      <c r="CN85" s="1218"/>
      <c r="CO85" s="1218"/>
      <c r="CP85" s="1204"/>
      <c r="CQ85" s="1220">
        <f>IF(BF85=60,"",IF(LEN(CX86)&lt;=14,CX86,CONCATENATE(IF(SUM(CX85:DD85)&gt;=0,"+",""),SUM(CX85:DD85),"(Total)")))</f>
      </c>
      <c r="CR85" s="1221"/>
      <c r="CS85" s="1221"/>
      <c r="CT85" s="1221"/>
      <c r="CU85" s="1221"/>
      <c r="CV85" s="1221"/>
      <c r="CW85" s="1221"/>
      <c r="CX85" s="186">
        <f>INDEX('技能'!$J$12:$J$71,' 印刷'!BF85)</f>
        <v>0</v>
      </c>
      <c r="CY85" s="186">
        <f>INDEX('技能'!$K$12:$K$71,BF85)</f>
        <v>0</v>
      </c>
      <c r="CZ85" s="186">
        <f>INDEX('技能'!$L$12:$L$71,BF85)</f>
        <v>0</v>
      </c>
      <c r="DA85" s="186">
        <f>INDEX('技能'!$M$12:$M$71,BF85)</f>
        <v>0</v>
      </c>
      <c r="DB85" s="186">
        <f>INDEX('技能'!$I$12:$I$71,BF85)</f>
        <v>0</v>
      </c>
      <c r="DC85" s="186">
        <f>INDEX('技能'!$H$12:$H$71,BF85)</f>
        <v>0</v>
      </c>
      <c r="DD85" s="186">
        <f>INDEX('技能'!$G$12:$G$71,BF85)</f>
        <v>0</v>
      </c>
      <c r="DE85" s="186" t="str">
        <f>INDEX('技能'!$P$12:$P$71,BF85)</f>
        <v>-</v>
      </c>
      <c r="DF85" s="351" t="str">
        <f>INDEX('技能'!$N$12:$N$71,BF85)</f>
        <v>No</v>
      </c>
      <c r="DG85" s="192"/>
      <c r="DH85" s="1197">
        <v>31</v>
      </c>
      <c r="DI85" s="1194">
        <v>37</v>
      </c>
      <c r="DJ85" s="1688"/>
      <c r="DK85" s="1688"/>
    </row>
    <row r="86" spans="1:115" ht="10.5" customHeight="1">
      <c r="A86" s="1253" t="s">
        <v>697</v>
      </c>
      <c r="B86" s="1254"/>
      <c r="C86" s="1254"/>
      <c r="D86" s="1254"/>
      <c r="E86" s="1254"/>
      <c r="F86" s="1254"/>
      <c r="G86" s="1254"/>
      <c r="H86" s="1254"/>
      <c r="I86" s="1254"/>
      <c r="J86" s="1254"/>
      <c r="K86" s="1254"/>
      <c r="L86" s="1254"/>
      <c r="M86" s="1254"/>
      <c r="N86" s="1254"/>
      <c r="O86" s="1254"/>
      <c r="P86" s="1254"/>
      <c r="Q86" s="1255"/>
      <c r="R86" s="473">
        <v>4</v>
      </c>
      <c r="S86" s="474">
        <f>INDEX('能力'!$O$98:$O$107,R86)</f>
        <v>18</v>
      </c>
      <c r="T86" s="474">
        <f>INDEX('能力'!$BG$98:$BG$107,R86)</f>
      </c>
      <c r="U86" s="475">
        <f>INDEX('能力'!$AQ$98:$AQ$107,R86)</f>
      </c>
      <c r="V86" s="476"/>
      <c r="W86" s="477"/>
      <c r="X86" s="477"/>
      <c r="Y86" s="477"/>
      <c r="Z86" s="477"/>
      <c r="AA86" s="477"/>
      <c r="AB86" s="477"/>
      <c r="AC86" s="477"/>
      <c r="AD86" s="477"/>
      <c r="AE86" s="477"/>
      <c r="AF86" s="476"/>
      <c r="AG86" s="469"/>
      <c r="AH86" s="469"/>
      <c r="AI86" s="469"/>
      <c r="AJ86" s="469"/>
      <c r="AK86" s="469"/>
      <c r="AL86" s="469"/>
      <c r="AM86" s="469"/>
      <c r="AN86" s="469"/>
      <c r="AO86" s="469"/>
      <c r="AP86" s="469"/>
      <c r="AQ86" s="469"/>
      <c r="AR86" s="469"/>
      <c r="AS86" s="469"/>
      <c r="AT86" s="469"/>
      <c r="AU86" s="469"/>
      <c r="AV86" s="469"/>
      <c r="AW86" s="469"/>
      <c r="AX86" s="469"/>
      <c r="AY86" s="469"/>
      <c r="AZ86" s="469"/>
      <c r="BA86" s="469"/>
      <c r="BB86" s="469"/>
      <c r="BC86" s="469"/>
      <c r="BD86" s="469"/>
      <c r="BE86" s="192"/>
      <c r="BF86" s="1468"/>
      <c r="BG86" s="1229"/>
      <c r="BH86" s="1229"/>
      <c r="BI86" s="1229"/>
      <c r="BJ86" s="1229"/>
      <c r="BK86" s="1229"/>
      <c r="BL86" s="1229"/>
      <c r="BM86" s="1229"/>
      <c r="BN86" s="1229"/>
      <c r="BO86" s="1229"/>
      <c r="BP86" s="1229"/>
      <c r="BQ86" s="1229"/>
      <c r="BR86" s="1229"/>
      <c r="BS86" s="1229"/>
      <c r="BT86" s="1229"/>
      <c r="BU86" s="1229"/>
      <c r="BV86" s="1229"/>
      <c r="BW86" s="1229"/>
      <c r="BX86" s="1229"/>
      <c r="BY86" s="1229"/>
      <c r="BZ86" s="1231"/>
      <c r="CA86" s="1231"/>
      <c r="CB86" s="1231"/>
      <c r="CC86" s="431"/>
      <c r="CD86" s="1203"/>
      <c r="CE86" s="1203"/>
      <c r="CF86" s="1203"/>
      <c r="CG86" s="1203"/>
      <c r="CH86" s="1204"/>
      <c r="CI86" s="1201"/>
      <c r="CJ86" s="1201"/>
      <c r="CK86" s="1201"/>
      <c r="CL86" s="1204"/>
      <c r="CM86" s="1219"/>
      <c r="CN86" s="1219"/>
      <c r="CO86" s="1219"/>
      <c r="CP86" s="1204"/>
      <c r="CQ86" s="1222"/>
      <c r="CR86" s="1222"/>
      <c r="CS86" s="1222"/>
      <c r="CT86" s="1222"/>
      <c r="CU86" s="1222"/>
      <c r="CV86" s="1222"/>
      <c r="CW86" s="1222"/>
      <c r="CX86" s="186">
        <f>CONCATENATE(IF(CX85&lt;&gt;0,CONCATENATE(IF(CX85&gt;0,"+",""),CX85,"Env."),""),IF(CY85&lt;&gt;0,CONCATENATE(IF(CY85&gt;0,"+",""),CY85,"Misc"),""),IF(CZ85&lt;&gt;0,CONCATENATE(IF(CZ85&gt;0,"+",""),CZ85,"Size"),""),IF(DA85&lt;&gt;0,CONCATENATE(IF(DA85&gt;0,"+",""),DA85,"Race"),""),IF(DB85&lt;&gt;0,CONCATENATE(IF(DB85&gt;0,"+",""),DB85,"Cmp."),""),IF(DC85&lt;&gt;0,CONCATENATE(IF(DC85&gt;0,"+",""),DC85),""),IF(DE85="-","",IF(DE85=0,"",CONCATENATE(DE85,"ACP"))))</f>
      </c>
      <c r="CY86" s="186"/>
      <c r="CZ86" s="186"/>
      <c r="DA86" s="186"/>
      <c r="DB86" s="186"/>
      <c r="DG86" s="192"/>
      <c r="DH86" s="1197"/>
      <c r="DI86" s="1194"/>
      <c r="DJ86" s="1688"/>
      <c r="DK86" s="1688"/>
    </row>
    <row r="87" spans="1:115" ht="10.5" customHeight="1" thickBot="1">
      <c r="A87" s="1256"/>
      <c r="B87" s="1257"/>
      <c r="C87" s="1257"/>
      <c r="D87" s="1257"/>
      <c r="E87" s="1257"/>
      <c r="F87" s="1257"/>
      <c r="G87" s="1257"/>
      <c r="H87" s="1257"/>
      <c r="I87" s="1257"/>
      <c r="J87" s="1257"/>
      <c r="K87" s="1257"/>
      <c r="L87" s="1257"/>
      <c r="M87" s="1257"/>
      <c r="N87" s="1257"/>
      <c r="O87" s="1257"/>
      <c r="P87" s="1257"/>
      <c r="Q87" s="1258"/>
      <c r="R87" s="1479" t="s">
        <v>698</v>
      </c>
      <c r="S87" s="1480"/>
      <c r="T87" s="1480"/>
      <c r="U87" s="1480"/>
      <c r="V87" s="1480"/>
      <c r="W87" s="1480"/>
      <c r="X87" s="1480"/>
      <c r="Y87" s="1480"/>
      <c r="Z87" s="1480"/>
      <c r="AA87" s="1480"/>
      <c r="AB87" s="1480"/>
      <c r="AC87" s="1480"/>
      <c r="AD87" s="1480"/>
      <c r="AE87" s="1480"/>
      <c r="AF87" s="1480"/>
      <c r="AG87" s="1480"/>
      <c r="AH87" s="1480"/>
      <c r="AI87" s="1480"/>
      <c r="AJ87" s="1481"/>
      <c r="AK87" s="1260" t="s">
        <v>635</v>
      </c>
      <c r="AL87" s="1261"/>
      <c r="AM87" s="1261"/>
      <c r="AN87" s="1261"/>
      <c r="AO87" s="1261"/>
      <c r="AP87" s="1261"/>
      <c r="AQ87" s="1261"/>
      <c r="AR87" s="1261"/>
      <c r="AS87" s="1261"/>
      <c r="AT87" s="1262"/>
      <c r="AU87" s="1260" t="s">
        <v>636</v>
      </c>
      <c r="AV87" s="1261"/>
      <c r="AW87" s="1261"/>
      <c r="AX87" s="1261"/>
      <c r="AY87" s="1261"/>
      <c r="AZ87" s="1261"/>
      <c r="BA87" s="1261"/>
      <c r="BB87" s="1261"/>
      <c r="BC87" s="1261"/>
      <c r="BD87" s="1262"/>
      <c r="BE87" s="213"/>
      <c r="BF87" s="1468">
        <f ca="1">INDIRECT(ADDRESS(ROW(BF87),111+$BF$28))</f>
        <v>32</v>
      </c>
      <c r="BG87" s="1228" t="str">
        <f>IF(BF87=60,"",INDEX('技能'!$B$12:$B$70,BF87))</f>
        <v>Profession: </v>
      </c>
      <c r="BH87" s="1228"/>
      <c r="BI87" s="1228"/>
      <c r="BJ87" s="1228"/>
      <c r="BK87" s="1228"/>
      <c r="BL87" s="1228"/>
      <c r="BM87" s="1228"/>
      <c r="BN87" s="1228"/>
      <c r="BO87" s="1228"/>
      <c r="BP87" s="1228"/>
      <c r="BQ87" s="1228"/>
      <c r="BR87" s="1228"/>
      <c r="BS87" s="1228"/>
      <c r="BT87" s="1228"/>
      <c r="BU87" s="1228"/>
      <c r="BV87" s="1228"/>
      <c r="BW87" s="1228"/>
      <c r="BX87" s="1228"/>
      <c r="BY87" s="1228"/>
      <c r="BZ87" s="1230" t="str">
        <f>IF(BF87=60,"",INDEX('技能'!$D$12:$D$70,BF87))</f>
        <v>WIS</v>
      </c>
      <c r="CA87" s="1230"/>
      <c r="CB87" s="1230"/>
      <c r="CC87" s="431">
        <f>IF(BF87=60,"",IF(INDEX('技能'!$P$12:$P$70,BF87)=0,"*",""))</f>
      </c>
      <c r="CD87" s="1202" t="str">
        <f>IF(BF87=60,"",IF(BZ87="なし","-",INDEX('技能'!$E$12:$E$70,BF87)))</f>
        <v>-</v>
      </c>
      <c r="CE87" s="1202"/>
      <c r="CF87" s="1202"/>
      <c r="CG87" s="1202"/>
      <c r="CH87" s="1204" t="s">
        <v>213</v>
      </c>
      <c r="CI87" s="1227">
        <f>IF(BF87=60,"",IF(BZ87="なし","-",INDEX('技能'!$F$12:$F$70,BF87)))</f>
        <v>0</v>
      </c>
      <c r="CJ87" s="1227"/>
      <c r="CK87" s="1227"/>
      <c r="CL87" s="1204" t="s">
        <v>214</v>
      </c>
      <c r="CM87" s="1218">
        <f>IF(BF87=60,"",IF(INDEX('技能'!$G$12:$G$70,BF87)&lt;&gt;0,INDEX('技能'!$O$12:$O$70,BF87)&amp;"#",INDEX('技能'!$O$12:$O$70,BF87)))</f>
        <v>0</v>
      </c>
      <c r="CN87" s="1218"/>
      <c r="CO87" s="1218"/>
      <c r="CP87" s="1204"/>
      <c r="CQ87" s="1220">
        <f>IF(BF87=60,"",IF(LEN(CX88)&lt;=14,CX88,CONCATENATE(IF(SUM(CX87:DD87)&gt;=0,"+",""),SUM(CX87:DD87),"(Total)")))</f>
      </c>
      <c r="CR87" s="1221"/>
      <c r="CS87" s="1221"/>
      <c r="CT87" s="1221"/>
      <c r="CU87" s="1221"/>
      <c r="CV87" s="1221"/>
      <c r="CW87" s="1221"/>
      <c r="CX87" s="186">
        <f>INDEX('技能'!$J$12:$J$71,' 印刷'!BF87)</f>
        <v>0</v>
      </c>
      <c r="CY87" s="186">
        <f>INDEX('技能'!$K$12:$K$71,BF87)</f>
        <v>0</v>
      </c>
      <c r="CZ87" s="186">
        <f>INDEX('技能'!$L$12:$L$71,BF87)</f>
        <v>0</v>
      </c>
      <c r="DA87" s="186">
        <f>INDEX('技能'!$M$12:$M$71,BF87)</f>
        <v>0</v>
      </c>
      <c r="DB87" s="186">
        <f>INDEX('技能'!$I$12:$I$71,BF87)</f>
        <v>0</v>
      </c>
      <c r="DC87" s="186">
        <f>INDEX('技能'!$H$12:$H$71,BF87)</f>
        <v>0</v>
      </c>
      <c r="DD87" s="186">
        <f>INDEX('技能'!$G$12:$G$71,BF87)</f>
        <v>0</v>
      </c>
      <c r="DE87" s="186" t="str">
        <f>INDEX('技能'!$P$12:$P$71,BF87)</f>
        <v>-</v>
      </c>
      <c r="DF87" s="351" t="str">
        <f>INDEX('技能'!$N$12:$N$71,BF87)</f>
        <v>No</v>
      </c>
      <c r="DG87" s="192"/>
      <c r="DH87" s="1197">
        <v>32</v>
      </c>
      <c r="DI87" s="1194">
        <v>38</v>
      </c>
      <c r="DJ87" s="1688"/>
      <c r="DK87" s="1688"/>
    </row>
    <row r="88" spans="1:115" ht="10.5" customHeight="1">
      <c r="A88" s="1579" t="str">
        <f>IF(R86=10,"",INDEX('能力'!$G$98:$G$106,R86))</f>
        <v>Bite</v>
      </c>
      <c r="B88" s="1579"/>
      <c r="C88" s="1579"/>
      <c r="D88" s="1579"/>
      <c r="E88" s="1579"/>
      <c r="F88" s="1579"/>
      <c r="G88" s="1579"/>
      <c r="H88" s="1579"/>
      <c r="I88" s="1579"/>
      <c r="J88" s="1579"/>
      <c r="K88" s="1579"/>
      <c r="L88" s="1579"/>
      <c r="M88" s="1579"/>
      <c r="N88" s="1579"/>
      <c r="O88" s="1579"/>
      <c r="P88" s="1579"/>
      <c r="Q88" s="1579"/>
      <c r="R88" s="1284" t="str">
        <f>IF(R86=10,"",IF(S86&gt;0,"+","")&amp;S86&amp;IF($AU$65&gt;=6,"/"&amp;IF(S86-5&gt;=0,"+","")&amp;(S86-5),"")&amp;IF($AU$65&gt;=11,"/"&amp;IF(S86-10&gt;=0,"+","")&amp;(S86-10),"")&amp;IF($AU$65&gt;=16,"/"&amp;IF(S86-15&gt;=0,"+","")&amp;(S86-15),""))</f>
        <v>+18/+13/+8</v>
      </c>
      <c r="S88" s="1284"/>
      <c r="T88" s="1284"/>
      <c r="U88" s="1284"/>
      <c r="V88" s="1284"/>
      <c r="W88" s="1284"/>
      <c r="X88" s="1284"/>
      <c r="Y88" s="1284"/>
      <c r="Z88" s="1284"/>
      <c r="AA88" s="1284"/>
      <c r="AB88" s="1284"/>
      <c r="AC88" s="1284"/>
      <c r="AD88" s="1284"/>
      <c r="AE88" s="1284"/>
      <c r="AF88" s="1284"/>
      <c r="AG88" s="1284"/>
      <c r="AH88" s="1284"/>
      <c r="AI88" s="1284"/>
      <c r="AJ88" s="1284"/>
      <c r="AK88" s="1602" t="str">
        <f>IF(R86=10,"",CONCATENATE(INDEX('能力'!$AL$98:$AL$106,R86),INDEX('能力'!$AO$98:$AO$106,R86)))</f>
        <v>1d4</v>
      </c>
      <c r="AL88" s="1602"/>
      <c r="AM88" s="1602"/>
      <c r="AN88" s="1602"/>
      <c r="AO88" s="1602"/>
      <c r="AP88" s="1602"/>
      <c r="AQ88" s="1602"/>
      <c r="AR88" s="1602"/>
      <c r="AS88" s="1602"/>
      <c r="AT88" s="1602"/>
      <c r="AU88" s="1482" t="str">
        <f>IF(R86=10,"",CONCATENATE(IF(INDEX('能力'!$BC$98:$BC$106,R86)=20,"",CONCATENATE(INDEX('能力'!$BC$98:$BC$106,R86),"/")),INDEX('能力'!$BA$98:$BA$106,R86)))</f>
        <v>x2</v>
      </c>
      <c r="AV88" s="1482"/>
      <c r="AW88" s="1482"/>
      <c r="AX88" s="1482"/>
      <c r="AY88" s="1482"/>
      <c r="AZ88" s="1482"/>
      <c r="BA88" s="1482"/>
      <c r="BB88" s="1482"/>
      <c r="BC88" s="1482"/>
      <c r="BD88" s="1482"/>
      <c r="BE88" s="186"/>
      <c r="BF88" s="1468"/>
      <c r="BG88" s="1229"/>
      <c r="BH88" s="1229"/>
      <c r="BI88" s="1229"/>
      <c r="BJ88" s="1229"/>
      <c r="BK88" s="1229"/>
      <c r="BL88" s="1229"/>
      <c r="BM88" s="1229"/>
      <c r="BN88" s="1229"/>
      <c r="BO88" s="1229"/>
      <c r="BP88" s="1229"/>
      <c r="BQ88" s="1229"/>
      <c r="BR88" s="1229"/>
      <c r="BS88" s="1229"/>
      <c r="BT88" s="1229"/>
      <c r="BU88" s="1229"/>
      <c r="BV88" s="1229"/>
      <c r="BW88" s="1229"/>
      <c r="BX88" s="1229"/>
      <c r="BY88" s="1229"/>
      <c r="BZ88" s="1231"/>
      <c r="CA88" s="1231"/>
      <c r="CB88" s="1231"/>
      <c r="CC88" s="431"/>
      <c r="CD88" s="1203"/>
      <c r="CE88" s="1203"/>
      <c r="CF88" s="1203"/>
      <c r="CG88" s="1203"/>
      <c r="CH88" s="1204"/>
      <c r="CI88" s="1201"/>
      <c r="CJ88" s="1201"/>
      <c r="CK88" s="1201"/>
      <c r="CL88" s="1204"/>
      <c r="CM88" s="1219"/>
      <c r="CN88" s="1219"/>
      <c r="CO88" s="1219"/>
      <c r="CP88" s="1204"/>
      <c r="CQ88" s="1222"/>
      <c r="CR88" s="1222"/>
      <c r="CS88" s="1222"/>
      <c r="CT88" s="1222"/>
      <c r="CU88" s="1222"/>
      <c r="CV88" s="1222"/>
      <c r="CW88" s="1222"/>
      <c r="CX88" s="186">
        <f>CONCATENATE(IF(CX87&lt;&gt;0,CONCATENATE(IF(CX87&gt;0,"+",""),CX87,"Env."),""),IF(CY87&lt;&gt;0,CONCATENATE(IF(CY87&gt;0,"+",""),CY87,"Misc"),""),IF(CZ87&lt;&gt;0,CONCATENATE(IF(CZ87&gt;0,"+",""),CZ87,"Size"),""),IF(DA87&lt;&gt;0,CONCATENATE(IF(DA87&gt;0,"+",""),DA87,"Race"),""),IF(DB87&lt;&gt;0,CONCATENATE(IF(DB87&gt;0,"+",""),DB87,"Cmp."),""),IF(DC87&lt;&gt;0,CONCATENATE(IF(DC87&gt;0,"+",""),DC87),""),IF(DE87="-","",IF(DE87=0,"",CONCATENATE(DE87,"ACP"))))</f>
      </c>
      <c r="CY88" s="186"/>
      <c r="CZ88" s="186"/>
      <c r="DA88" s="186"/>
      <c r="DB88" s="186"/>
      <c r="DG88" s="192"/>
      <c r="DH88" s="1197"/>
      <c r="DI88" s="1194"/>
      <c r="DJ88" s="1688"/>
      <c r="DK88" s="1688"/>
    </row>
    <row r="89" spans="1:115" ht="10.5" customHeight="1">
      <c r="A89" s="1580"/>
      <c r="B89" s="1580"/>
      <c r="C89" s="1580"/>
      <c r="D89" s="1580"/>
      <c r="E89" s="1580"/>
      <c r="F89" s="1580"/>
      <c r="G89" s="1580"/>
      <c r="H89" s="1580"/>
      <c r="I89" s="1580"/>
      <c r="J89" s="1580"/>
      <c r="K89" s="1580"/>
      <c r="L89" s="1580"/>
      <c r="M89" s="1580"/>
      <c r="N89" s="1580"/>
      <c r="O89" s="1580"/>
      <c r="P89" s="1580"/>
      <c r="Q89" s="1580"/>
      <c r="R89" s="1285"/>
      <c r="S89" s="1285"/>
      <c r="T89" s="1285"/>
      <c r="U89" s="1285"/>
      <c r="V89" s="1285"/>
      <c r="W89" s="1285"/>
      <c r="X89" s="1285"/>
      <c r="Y89" s="1285"/>
      <c r="Z89" s="1285"/>
      <c r="AA89" s="1285"/>
      <c r="AB89" s="1285"/>
      <c r="AC89" s="1285"/>
      <c r="AD89" s="1285"/>
      <c r="AE89" s="1285"/>
      <c r="AF89" s="1285"/>
      <c r="AG89" s="1285"/>
      <c r="AH89" s="1285"/>
      <c r="AI89" s="1285"/>
      <c r="AJ89" s="1285"/>
      <c r="AK89" s="1603"/>
      <c r="AL89" s="1603"/>
      <c r="AM89" s="1603"/>
      <c r="AN89" s="1603"/>
      <c r="AO89" s="1603"/>
      <c r="AP89" s="1603"/>
      <c r="AQ89" s="1603"/>
      <c r="AR89" s="1603"/>
      <c r="AS89" s="1603"/>
      <c r="AT89" s="1603"/>
      <c r="AU89" s="1483"/>
      <c r="AV89" s="1483"/>
      <c r="AW89" s="1483"/>
      <c r="AX89" s="1483"/>
      <c r="AY89" s="1483"/>
      <c r="AZ89" s="1483"/>
      <c r="BA89" s="1483"/>
      <c r="BB89" s="1483"/>
      <c r="BC89" s="1483"/>
      <c r="BD89" s="1483"/>
      <c r="BE89" s="186"/>
      <c r="BF89" s="1468">
        <f ca="1">INDIRECT(ADDRESS(ROW(BF89),111+$BF$28))</f>
        <v>34</v>
      </c>
      <c r="BG89" s="1228" t="str">
        <f>IF(BF89=60,"",INDEX('技能'!$B$12:$B$70,BF89))</f>
        <v>Ride</v>
      </c>
      <c r="BH89" s="1228"/>
      <c r="BI89" s="1228"/>
      <c r="BJ89" s="1228"/>
      <c r="BK89" s="1228"/>
      <c r="BL89" s="1228"/>
      <c r="BM89" s="1228"/>
      <c r="BN89" s="1228"/>
      <c r="BO89" s="1228"/>
      <c r="BP89" s="1228"/>
      <c r="BQ89" s="1228"/>
      <c r="BR89" s="1228"/>
      <c r="BS89" s="1228"/>
      <c r="BT89" s="1228"/>
      <c r="BU89" s="1228"/>
      <c r="BV89" s="1228"/>
      <c r="BW89" s="1228"/>
      <c r="BX89" s="1228"/>
      <c r="BY89" s="1228"/>
      <c r="BZ89" s="1230" t="str">
        <f>IF(BF89=60,"",INDEX('技能'!$D$12:$D$70,BF89))</f>
        <v>DEX</v>
      </c>
      <c r="CA89" s="1230"/>
      <c r="CB89" s="1230"/>
      <c r="CC89" s="431">
        <f>IF(BF89=60,"",IF(INDEX('技能'!$P$12:$P$70,BF89)=0,"*",""))</f>
      </c>
      <c r="CD89" s="1202">
        <f>IF(BF89=60,"",IF(BZ89="なし","-",INDEX('技能'!$E$12:$E$70,BF89)))</f>
        <v>9</v>
      </c>
      <c r="CE89" s="1202"/>
      <c r="CF89" s="1202"/>
      <c r="CG89" s="1202"/>
      <c r="CH89" s="1204" t="s">
        <v>213</v>
      </c>
      <c r="CI89" s="1227">
        <f>IF(BF89=60,"",IF(BZ89="なし","-",INDEX('技能'!$F$12:$F$70,BF89)))</f>
        <v>0</v>
      </c>
      <c r="CJ89" s="1227"/>
      <c r="CK89" s="1227"/>
      <c r="CL89" s="1204" t="s">
        <v>214</v>
      </c>
      <c r="CM89" s="1218" t="str">
        <f>IF(BF89=60,"",IF(INDEX('技能'!$G$12:$G$70,BF89)&lt;&gt;0,INDEX('技能'!$O$12:$O$70,BF89)&amp;"#",INDEX('技能'!$O$12:$O$70,BF89)))</f>
        <v>11#</v>
      </c>
      <c r="CN89" s="1218"/>
      <c r="CO89" s="1218"/>
      <c r="CP89" s="1204"/>
      <c r="CQ89" s="1220" t="str">
        <f>IF(BF89=60,"",IF(LEN(CX90)&lt;=14,CX90,CONCATENATE(IF(SUM(CX89:DD89)&gt;=0,"+",""),SUM(CX89:DD89),"(Total)")))</f>
        <v>-5ACP</v>
      </c>
      <c r="CR89" s="1221"/>
      <c r="CS89" s="1221"/>
      <c r="CT89" s="1221"/>
      <c r="CU89" s="1221"/>
      <c r="CV89" s="1221"/>
      <c r="CW89" s="1221"/>
      <c r="CX89" s="186">
        <f>INDEX('技能'!$J$12:$J$71,' 印刷'!BF89)</f>
        <v>0</v>
      </c>
      <c r="CY89" s="186">
        <f>INDEX('技能'!$K$12:$K$71,BF89)</f>
        <v>0</v>
      </c>
      <c r="CZ89" s="186">
        <f>INDEX('技能'!$L$12:$L$71,BF89)</f>
        <v>0</v>
      </c>
      <c r="DA89" s="186">
        <f>INDEX('技能'!$M$12:$M$71,BF89)</f>
        <v>0</v>
      </c>
      <c r="DB89" s="186">
        <f>INDEX('技能'!$I$12:$I$71,BF89)</f>
        <v>0</v>
      </c>
      <c r="DC89" s="186">
        <f>INDEX('技能'!$H$12:$H$71,BF89)</f>
        <v>0</v>
      </c>
      <c r="DD89" s="186">
        <f>INDEX('技能'!$G$12:$G$71,BF89)</f>
        <v>1</v>
      </c>
      <c r="DE89" s="186">
        <f>INDEX('技能'!$P$12:$P$71,BF89)</f>
        <v>-5</v>
      </c>
      <c r="DF89" s="351" t="str">
        <f>INDEX('技能'!$N$12:$N$71,BF89)</f>
        <v>Yes</v>
      </c>
      <c r="DG89" s="192"/>
      <c r="DH89" s="1197">
        <v>34</v>
      </c>
      <c r="DI89" s="1194">
        <v>39</v>
      </c>
      <c r="DJ89" s="1688"/>
      <c r="DK89" s="1688"/>
    </row>
    <row r="90" spans="1:115" ht="10.5" customHeight="1" thickBot="1">
      <c r="A90" s="1581"/>
      <c r="B90" s="1581"/>
      <c r="C90" s="1581"/>
      <c r="D90" s="1581"/>
      <c r="E90" s="1581"/>
      <c r="F90" s="1581"/>
      <c r="G90" s="1581"/>
      <c r="H90" s="1581"/>
      <c r="I90" s="1581"/>
      <c r="J90" s="1581"/>
      <c r="K90" s="1581"/>
      <c r="L90" s="1581"/>
      <c r="M90" s="1581"/>
      <c r="N90" s="1581"/>
      <c r="O90" s="1581"/>
      <c r="P90" s="1581"/>
      <c r="Q90" s="1581"/>
      <c r="R90" s="1286"/>
      <c r="S90" s="1286"/>
      <c r="T90" s="1286"/>
      <c r="U90" s="1286"/>
      <c r="V90" s="1286"/>
      <c r="W90" s="1286"/>
      <c r="X90" s="1286"/>
      <c r="Y90" s="1286"/>
      <c r="Z90" s="1286"/>
      <c r="AA90" s="1286"/>
      <c r="AB90" s="1286"/>
      <c r="AC90" s="1286"/>
      <c r="AD90" s="1286"/>
      <c r="AE90" s="1286"/>
      <c r="AF90" s="1286"/>
      <c r="AG90" s="1286"/>
      <c r="AH90" s="1286"/>
      <c r="AI90" s="1286"/>
      <c r="AJ90" s="1286"/>
      <c r="AK90" s="1604"/>
      <c r="AL90" s="1604"/>
      <c r="AM90" s="1604"/>
      <c r="AN90" s="1604"/>
      <c r="AO90" s="1604"/>
      <c r="AP90" s="1604"/>
      <c r="AQ90" s="1604"/>
      <c r="AR90" s="1604"/>
      <c r="AS90" s="1604"/>
      <c r="AT90" s="1604"/>
      <c r="AU90" s="1484"/>
      <c r="AV90" s="1484"/>
      <c r="AW90" s="1484"/>
      <c r="AX90" s="1484"/>
      <c r="AY90" s="1484"/>
      <c r="AZ90" s="1484"/>
      <c r="BA90" s="1484"/>
      <c r="BB90" s="1484"/>
      <c r="BC90" s="1484"/>
      <c r="BD90" s="1484"/>
      <c r="BE90" s="214"/>
      <c r="BF90" s="1468"/>
      <c r="BG90" s="1229"/>
      <c r="BH90" s="1229"/>
      <c r="BI90" s="1229"/>
      <c r="BJ90" s="1229"/>
      <c r="BK90" s="1229"/>
      <c r="BL90" s="1229"/>
      <c r="BM90" s="1229"/>
      <c r="BN90" s="1229"/>
      <c r="BO90" s="1229"/>
      <c r="BP90" s="1229"/>
      <c r="BQ90" s="1229"/>
      <c r="BR90" s="1229"/>
      <c r="BS90" s="1229"/>
      <c r="BT90" s="1229"/>
      <c r="BU90" s="1229"/>
      <c r="BV90" s="1229"/>
      <c r="BW90" s="1229"/>
      <c r="BX90" s="1229"/>
      <c r="BY90" s="1229"/>
      <c r="BZ90" s="1231"/>
      <c r="CA90" s="1231"/>
      <c r="CB90" s="1231"/>
      <c r="CC90" s="431"/>
      <c r="CD90" s="1203"/>
      <c r="CE90" s="1203"/>
      <c r="CF90" s="1203"/>
      <c r="CG90" s="1203"/>
      <c r="CH90" s="1204"/>
      <c r="CI90" s="1201"/>
      <c r="CJ90" s="1201"/>
      <c r="CK90" s="1201"/>
      <c r="CL90" s="1204"/>
      <c r="CM90" s="1219"/>
      <c r="CN90" s="1219"/>
      <c r="CO90" s="1219"/>
      <c r="CP90" s="1204"/>
      <c r="CQ90" s="1222"/>
      <c r="CR90" s="1222"/>
      <c r="CS90" s="1222"/>
      <c r="CT90" s="1222"/>
      <c r="CU90" s="1222"/>
      <c r="CV90" s="1222"/>
      <c r="CW90" s="1222"/>
      <c r="CX90" s="186" t="str">
        <f>CONCATENATE(IF(CX89&lt;&gt;0,CONCATENATE(IF(CX89&gt;0,"+",""),CX89,"Env."),""),IF(CY89&lt;&gt;0,CONCATENATE(IF(CY89&gt;0,"+",""),CY89,"Misc"),""),IF(CZ89&lt;&gt;0,CONCATENATE(IF(CZ89&gt;0,"+",""),CZ89,"Size"),""),IF(DA89&lt;&gt;0,CONCATENATE(IF(DA89&gt;0,"+",""),DA89,"Race"),""),IF(DB89&lt;&gt;0,CONCATENATE(IF(DB89&gt;0,"+",""),DB89,"Cmp."),""),IF(DC89&lt;&gt;0,CONCATENATE(IF(DC89&gt;0,"+",""),DC89),""),IF(DE89="-","",IF(DE89=0,"",CONCATENATE(DE89,"ACP"))))</f>
        <v>-5ACP</v>
      </c>
      <c r="CY90" s="186"/>
      <c r="CZ90" s="186"/>
      <c r="DA90" s="186"/>
      <c r="DB90" s="186"/>
      <c r="DG90" s="192"/>
      <c r="DH90" s="1197"/>
      <c r="DI90" s="1194"/>
      <c r="DJ90" s="1688"/>
      <c r="DK90" s="1688"/>
    </row>
    <row r="91" spans="1:115" ht="10.5" customHeight="1" thickBot="1">
      <c r="A91" s="1281" t="s">
        <v>699</v>
      </c>
      <c r="B91" s="1282"/>
      <c r="C91" s="1282"/>
      <c r="D91" s="1282"/>
      <c r="E91" s="1282"/>
      <c r="F91" s="1283"/>
      <c r="G91" s="1281" t="s">
        <v>700</v>
      </c>
      <c r="H91" s="1282"/>
      <c r="I91" s="1282"/>
      <c r="J91" s="1282"/>
      <c r="K91" s="1283"/>
      <c r="L91" s="1281" t="s">
        <v>701</v>
      </c>
      <c r="M91" s="1282"/>
      <c r="N91" s="1282"/>
      <c r="O91" s="1282"/>
      <c r="P91" s="1282"/>
      <c r="Q91" s="1282"/>
      <c r="R91" s="1282"/>
      <c r="S91" s="1282"/>
      <c r="T91" s="1283"/>
      <c r="U91" s="1281" t="s">
        <v>702</v>
      </c>
      <c r="V91" s="1282"/>
      <c r="W91" s="1282"/>
      <c r="X91" s="1282"/>
      <c r="Y91" s="1282"/>
      <c r="Z91" s="1283"/>
      <c r="AA91" s="1282" t="s">
        <v>703</v>
      </c>
      <c r="AB91" s="1282"/>
      <c r="AC91" s="1282"/>
      <c r="AD91" s="1282"/>
      <c r="AE91" s="1282"/>
      <c r="AF91" s="1282"/>
      <c r="AG91" s="1282"/>
      <c r="AH91" s="1282"/>
      <c r="AI91" s="1282"/>
      <c r="AJ91" s="1282"/>
      <c r="AK91" s="1282"/>
      <c r="AL91" s="1282"/>
      <c r="AM91" s="1282"/>
      <c r="AN91" s="1282"/>
      <c r="AO91" s="1282"/>
      <c r="AP91" s="1282"/>
      <c r="AQ91" s="1282"/>
      <c r="AR91" s="1282"/>
      <c r="AS91" s="1282"/>
      <c r="AT91" s="1282"/>
      <c r="AU91" s="1282"/>
      <c r="AV91" s="1282"/>
      <c r="AW91" s="1282"/>
      <c r="AX91" s="1282"/>
      <c r="AY91" s="1282"/>
      <c r="AZ91" s="1282"/>
      <c r="BA91" s="1282"/>
      <c r="BB91" s="1282"/>
      <c r="BC91" s="1282"/>
      <c r="BD91" s="1282"/>
      <c r="BE91" s="213"/>
      <c r="BF91" s="1468">
        <f ca="1">INDIRECT(ADDRESS(ROW(BF91),111+$BF$28))</f>
        <v>35</v>
      </c>
      <c r="BG91" s="1228" t="str">
        <f>IF(BF91=60,"",INDEX('技能'!$B$12:$B$70,BF91))</f>
        <v>Sense Motive</v>
      </c>
      <c r="BH91" s="1228"/>
      <c r="BI91" s="1228"/>
      <c r="BJ91" s="1228"/>
      <c r="BK91" s="1228"/>
      <c r="BL91" s="1228"/>
      <c r="BM91" s="1228"/>
      <c r="BN91" s="1228"/>
      <c r="BO91" s="1228"/>
      <c r="BP91" s="1228"/>
      <c r="BQ91" s="1228"/>
      <c r="BR91" s="1228"/>
      <c r="BS91" s="1228"/>
      <c r="BT91" s="1228"/>
      <c r="BU91" s="1228"/>
      <c r="BV91" s="1228"/>
      <c r="BW91" s="1228"/>
      <c r="BX91" s="1228"/>
      <c r="BY91" s="1228"/>
      <c r="BZ91" s="1230" t="str">
        <f>IF(BF91=60,"",INDEX('技能'!$D$12:$D$70,BF91))</f>
        <v>WIS</v>
      </c>
      <c r="CA91" s="1230"/>
      <c r="CB91" s="1230"/>
      <c r="CC91" s="431">
        <f>IF(BF91=60,"",IF(INDEX('技能'!$P$12:$P$70,BF91)=0,"*",""))</f>
      </c>
      <c r="CD91" s="1202">
        <f>IF(BF91=60,"",IF(BZ91="なし","-",INDEX('技能'!$E$12:$E$70,BF91)))</f>
        <v>0</v>
      </c>
      <c r="CE91" s="1202"/>
      <c r="CF91" s="1202"/>
      <c r="CG91" s="1202"/>
      <c r="CH91" s="1204" t="s">
        <v>213</v>
      </c>
      <c r="CI91" s="1227">
        <f>IF(BF91=60,"",IF(BZ91="なし","-",INDEX('技能'!$F$12:$F$70,BF91)))</f>
        <v>0</v>
      </c>
      <c r="CJ91" s="1227"/>
      <c r="CK91" s="1227"/>
      <c r="CL91" s="1204" t="s">
        <v>214</v>
      </c>
      <c r="CM91" s="1218">
        <f>IF(BF91=60,"",IF(INDEX('技能'!$G$12:$G$70,BF91)&lt;&gt;0,INDEX('技能'!$O$12:$O$70,BF91)&amp;"#",INDEX('技能'!$O$12:$O$70,BF91)))</f>
        <v>0</v>
      </c>
      <c r="CN91" s="1218"/>
      <c r="CO91" s="1218"/>
      <c r="CP91" s="1204"/>
      <c r="CQ91" s="1220">
        <f>IF(BF91=60,"",IF(LEN(CX92)&lt;=14,CX92,CONCATENATE(IF(SUM(CX91:DD91)&gt;=0,"+",""),SUM(CX91:DD91),"(Total)")))</f>
      </c>
      <c r="CR91" s="1221"/>
      <c r="CS91" s="1221"/>
      <c r="CT91" s="1221"/>
      <c r="CU91" s="1221"/>
      <c r="CV91" s="1221"/>
      <c r="CW91" s="1221"/>
      <c r="CX91" s="186">
        <f>INDEX('技能'!$J$12:$J$71,' 印刷'!BF91)</f>
        <v>0</v>
      </c>
      <c r="CY91" s="186">
        <f>INDEX('技能'!$K$12:$K$71,BF91)</f>
        <v>0</v>
      </c>
      <c r="CZ91" s="186">
        <f>INDEX('技能'!$L$12:$L$71,BF91)</f>
        <v>0</v>
      </c>
      <c r="DA91" s="186">
        <f>INDEX('技能'!$M$12:$M$71,BF91)</f>
        <v>0</v>
      </c>
      <c r="DB91" s="186">
        <f>INDEX('技能'!$I$12:$I$71,BF91)</f>
        <v>0</v>
      </c>
      <c r="DC91" s="186">
        <f>INDEX('技能'!$H$12:$H$71,BF91)</f>
        <v>0</v>
      </c>
      <c r="DD91" s="186">
        <f>INDEX('技能'!$G$12:$G$71,BF91)</f>
        <v>0</v>
      </c>
      <c r="DE91" s="186" t="str">
        <f>INDEX('技能'!$P$12:$P$71,BF91)</f>
        <v>-</v>
      </c>
      <c r="DF91" s="351" t="str">
        <f>INDEX('技能'!$N$12:$N$71,BF91)</f>
        <v>Yes</v>
      </c>
      <c r="DG91" s="192"/>
      <c r="DH91" s="1197">
        <v>35</v>
      </c>
      <c r="DI91" s="1194">
        <v>40</v>
      </c>
      <c r="DJ91" s="1688"/>
      <c r="DK91" s="1688"/>
    </row>
    <row r="92" spans="1:115" ht="10.5" customHeight="1">
      <c r="A92" s="1247">
        <f>IF(R86=10,"",IF(INDEX('能力'!$AJ$98:$AJ$106,R86)=0,"-",INDEX('能力'!$AJ$98:$AJ$106,R86)))</f>
      </c>
      <c r="B92" s="1247"/>
      <c r="C92" s="1247"/>
      <c r="D92" s="1247"/>
      <c r="E92" s="1247"/>
      <c r="F92" s="1247"/>
      <c r="G92" s="1249">
        <f>IF(R86=10,"",INDEX('能力'!$BE$98:$BE$106,R86))</f>
      </c>
      <c r="H92" s="1249"/>
      <c r="I92" s="1249"/>
      <c r="J92" s="1249"/>
      <c r="K92" s="1249"/>
      <c r="L92" s="1251" t="str">
        <f>IF(R86=10,"",INDEX('能力'!$BU$5:$BU$17,INDEX('能力'!$AX$98:$AX$106,R86)))</f>
        <v>―</v>
      </c>
      <c r="M92" s="1251"/>
      <c r="N92" s="1251"/>
      <c r="O92" s="1251"/>
      <c r="P92" s="1251"/>
      <c r="Q92" s="1251"/>
      <c r="R92" s="1251"/>
      <c r="S92" s="1251"/>
      <c r="T92" s="1251"/>
      <c r="U92" s="1247" t="str">
        <f>IF(R86=10,"",INDEX('能力'!$BQ$5:$BQ$14,INDEX('能力'!$AT$98:$AT$106,R86)))</f>
        <v>Medium</v>
      </c>
      <c r="V92" s="1247"/>
      <c r="W92" s="1247"/>
      <c r="X92" s="1247"/>
      <c r="Y92" s="1247"/>
      <c r="Z92" s="1247"/>
      <c r="AA92" s="1245">
        <f>IF(R86=10,"",IF(OR(T86="",T86=0),IF(U86="","",U86),IF(U86="",T86,CONCATENATE(T86,"、",U86))))</f>
      </c>
      <c r="AB92" s="1245"/>
      <c r="AC92" s="1245"/>
      <c r="AD92" s="1245"/>
      <c r="AE92" s="1245"/>
      <c r="AF92" s="1245"/>
      <c r="AG92" s="1245"/>
      <c r="AH92" s="1245"/>
      <c r="AI92" s="1245"/>
      <c r="AJ92" s="1245"/>
      <c r="AK92" s="1245"/>
      <c r="AL92" s="1245"/>
      <c r="AM92" s="1245"/>
      <c r="AN92" s="1245"/>
      <c r="AO92" s="1245"/>
      <c r="AP92" s="1245"/>
      <c r="AQ92" s="1245"/>
      <c r="AR92" s="1245"/>
      <c r="AS92" s="1245"/>
      <c r="AT92" s="1245"/>
      <c r="AU92" s="1245"/>
      <c r="AV92" s="1245"/>
      <c r="AW92" s="1245"/>
      <c r="AX92" s="1245"/>
      <c r="AY92" s="1245"/>
      <c r="AZ92" s="1245"/>
      <c r="BA92" s="1245"/>
      <c r="BB92" s="1245"/>
      <c r="BC92" s="1245"/>
      <c r="BD92" s="1245"/>
      <c r="BE92" s="186"/>
      <c r="BF92" s="1468"/>
      <c r="BG92" s="1229"/>
      <c r="BH92" s="1229"/>
      <c r="BI92" s="1229"/>
      <c r="BJ92" s="1229"/>
      <c r="BK92" s="1229"/>
      <c r="BL92" s="1229"/>
      <c r="BM92" s="1229"/>
      <c r="BN92" s="1229"/>
      <c r="BO92" s="1229"/>
      <c r="BP92" s="1229"/>
      <c r="BQ92" s="1229"/>
      <c r="BR92" s="1229"/>
      <c r="BS92" s="1229"/>
      <c r="BT92" s="1229"/>
      <c r="BU92" s="1229"/>
      <c r="BV92" s="1229"/>
      <c r="BW92" s="1229"/>
      <c r="BX92" s="1229"/>
      <c r="BY92" s="1229"/>
      <c r="BZ92" s="1231"/>
      <c r="CA92" s="1231"/>
      <c r="CB92" s="1231"/>
      <c r="CC92" s="431"/>
      <c r="CD92" s="1203"/>
      <c r="CE92" s="1203"/>
      <c r="CF92" s="1203"/>
      <c r="CG92" s="1203"/>
      <c r="CH92" s="1204"/>
      <c r="CI92" s="1201"/>
      <c r="CJ92" s="1201"/>
      <c r="CK92" s="1201"/>
      <c r="CL92" s="1204"/>
      <c r="CM92" s="1219"/>
      <c r="CN92" s="1219"/>
      <c r="CO92" s="1219"/>
      <c r="CP92" s="1204"/>
      <c r="CQ92" s="1222"/>
      <c r="CR92" s="1222"/>
      <c r="CS92" s="1222"/>
      <c r="CT92" s="1222"/>
      <c r="CU92" s="1222"/>
      <c r="CV92" s="1222"/>
      <c r="CW92" s="1222"/>
      <c r="CX92" s="186">
        <f>CONCATENATE(IF(CX91&lt;&gt;0,CONCATENATE(IF(CX91&gt;0,"+",""),CX91,"Env."),""),IF(CY91&lt;&gt;0,CONCATENATE(IF(CY91&gt;0,"+",""),CY91,"Misc"),""),IF(CZ91&lt;&gt;0,CONCATENATE(IF(CZ91&gt;0,"+",""),CZ91,"Size"),""),IF(DA91&lt;&gt;0,CONCATENATE(IF(DA91&gt;0,"+",""),DA91,"Race"),""),IF(DB91&lt;&gt;0,CONCATENATE(IF(DB91&gt;0,"+",""),DB91,"Cmp."),""),IF(DC91&lt;&gt;0,CONCATENATE(IF(DC91&gt;0,"+",""),DC91),""),IF(DE91="-","",IF(DE91=0,"",CONCATENATE(DE91,"ACP"))))</f>
      </c>
      <c r="CY92" s="186"/>
      <c r="CZ92" s="186"/>
      <c r="DA92" s="186"/>
      <c r="DB92" s="186"/>
      <c r="DG92" s="192"/>
      <c r="DH92" s="1197"/>
      <c r="DI92" s="1194"/>
      <c r="DJ92" s="1688"/>
      <c r="DK92" s="1688"/>
    </row>
    <row r="93" spans="1:115" ht="10.5" customHeight="1" thickBot="1">
      <c r="A93" s="1248"/>
      <c r="B93" s="1248"/>
      <c r="C93" s="1248"/>
      <c r="D93" s="1248"/>
      <c r="E93" s="1248"/>
      <c r="F93" s="1248"/>
      <c r="G93" s="1250"/>
      <c r="H93" s="1250"/>
      <c r="I93" s="1250"/>
      <c r="J93" s="1250"/>
      <c r="K93" s="1250"/>
      <c r="L93" s="1252"/>
      <c r="M93" s="1252"/>
      <c r="N93" s="1252"/>
      <c r="O93" s="1252"/>
      <c r="P93" s="1252"/>
      <c r="Q93" s="1252"/>
      <c r="R93" s="1252"/>
      <c r="S93" s="1252"/>
      <c r="T93" s="1252"/>
      <c r="U93" s="1248"/>
      <c r="V93" s="1248"/>
      <c r="W93" s="1248"/>
      <c r="X93" s="1248"/>
      <c r="Y93" s="1248"/>
      <c r="Z93" s="1248"/>
      <c r="AA93" s="1246"/>
      <c r="AB93" s="1246"/>
      <c r="AC93" s="1246"/>
      <c r="AD93" s="1246"/>
      <c r="AE93" s="1246"/>
      <c r="AF93" s="1246"/>
      <c r="AG93" s="1246"/>
      <c r="AH93" s="1246"/>
      <c r="AI93" s="1246"/>
      <c r="AJ93" s="1246"/>
      <c r="AK93" s="1246"/>
      <c r="AL93" s="1246"/>
      <c r="AM93" s="1246"/>
      <c r="AN93" s="1246"/>
      <c r="AO93" s="1246"/>
      <c r="AP93" s="1246"/>
      <c r="AQ93" s="1246"/>
      <c r="AR93" s="1246"/>
      <c r="AS93" s="1246"/>
      <c r="AT93" s="1246"/>
      <c r="AU93" s="1246"/>
      <c r="AV93" s="1246"/>
      <c r="AW93" s="1246"/>
      <c r="AX93" s="1246"/>
      <c r="AY93" s="1246"/>
      <c r="AZ93" s="1246"/>
      <c r="BA93" s="1246"/>
      <c r="BB93" s="1246"/>
      <c r="BC93" s="1246"/>
      <c r="BD93" s="1246"/>
      <c r="BE93" s="186"/>
      <c r="BF93" s="1468">
        <f ca="1">INDIRECT(ADDRESS(ROW(BF93),111+$BF$28))</f>
        <v>36</v>
      </c>
      <c r="BG93" s="1228" t="str">
        <f>IF(BF93=60,"",INDEX('技能'!$B$12:$B$70,BF93))</f>
        <v>Sleight of Hand</v>
      </c>
      <c r="BH93" s="1228"/>
      <c r="BI93" s="1228"/>
      <c r="BJ93" s="1228"/>
      <c r="BK93" s="1228"/>
      <c r="BL93" s="1228"/>
      <c r="BM93" s="1228"/>
      <c r="BN93" s="1228"/>
      <c r="BO93" s="1228"/>
      <c r="BP93" s="1228"/>
      <c r="BQ93" s="1228"/>
      <c r="BR93" s="1228"/>
      <c r="BS93" s="1228"/>
      <c r="BT93" s="1228"/>
      <c r="BU93" s="1228"/>
      <c r="BV93" s="1228"/>
      <c r="BW93" s="1228"/>
      <c r="BX93" s="1228"/>
      <c r="BY93" s="1228"/>
      <c r="BZ93" s="1230" t="str">
        <f>IF(BF93=60,"",INDEX('技能'!$D$12:$D$70,BF93))</f>
        <v>DEX</v>
      </c>
      <c r="CA93" s="1230"/>
      <c r="CB93" s="1230"/>
      <c r="CC93" s="431">
        <f>IF(BF93=60,"",IF(INDEX('技能'!$P$12:$P$70,BF93)=0,"*",""))</f>
      </c>
      <c r="CD93" s="1202" t="str">
        <f>IF(BF93=60,"",IF(BZ93="なし","-",INDEX('技能'!$E$12:$E$70,BF93)))</f>
        <v>-</v>
      </c>
      <c r="CE93" s="1202"/>
      <c r="CF93" s="1202"/>
      <c r="CG93" s="1202"/>
      <c r="CH93" s="1204" t="s">
        <v>213</v>
      </c>
      <c r="CI93" s="1227">
        <f>IF(BF93=60,"",IF(BZ93="なし","-",INDEX('技能'!$F$12:$F$70,BF93)))</f>
        <v>0</v>
      </c>
      <c r="CJ93" s="1227"/>
      <c r="CK93" s="1227"/>
      <c r="CL93" s="1204" t="s">
        <v>214</v>
      </c>
      <c r="CM93" s="1218">
        <f>IF(BF93=60,"",IF(INDEX('技能'!$G$12:$G$70,BF93)&lt;&gt;0,INDEX('技能'!$O$12:$O$70,BF93)&amp;"#",INDEX('技能'!$O$12:$O$70,BF93)))</f>
        <v>0</v>
      </c>
      <c r="CN93" s="1218"/>
      <c r="CO93" s="1218"/>
      <c r="CP93" s="1204"/>
      <c r="CQ93" s="1220" t="str">
        <f>IF(BF93=60,"",IF(LEN(CX94)&lt;=14,CX94,CONCATENATE(IF(SUM(CX93:DD93)&gt;=0,"+",""),SUM(CX93:DD93),"(Total)")))</f>
        <v>-5ACP</v>
      </c>
      <c r="CR93" s="1221"/>
      <c r="CS93" s="1221"/>
      <c r="CT93" s="1221"/>
      <c r="CU93" s="1221"/>
      <c r="CV93" s="1221"/>
      <c r="CW93" s="1221"/>
      <c r="CX93" s="186">
        <f>INDEX('技能'!$J$12:$J$71,' 印刷'!BF93)</f>
        <v>0</v>
      </c>
      <c r="CY93" s="186">
        <f>INDEX('技能'!$K$12:$K$71,BF93)</f>
        <v>0</v>
      </c>
      <c r="CZ93" s="186">
        <f>INDEX('技能'!$L$12:$L$71,BF93)</f>
        <v>0</v>
      </c>
      <c r="DA93" s="186">
        <f>INDEX('技能'!$M$12:$M$71,BF93)</f>
        <v>0</v>
      </c>
      <c r="DB93" s="186">
        <f>INDEX('技能'!$I$12:$I$71,BF93)</f>
        <v>0</v>
      </c>
      <c r="DC93" s="186">
        <f>INDEX('技能'!$H$12:$H$71,BF93)</f>
        <v>0</v>
      </c>
      <c r="DD93" s="186">
        <f>INDEX('技能'!$G$12:$G$71,BF93)</f>
        <v>0</v>
      </c>
      <c r="DE93" s="186">
        <f>INDEX('技能'!$P$12:$P$71,BF93)</f>
        <v>-5</v>
      </c>
      <c r="DF93" s="351" t="str">
        <f>INDEX('技能'!$N$12:$N$71,BF93)</f>
        <v>No</v>
      </c>
      <c r="DG93" s="192"/>
      <c r="DH93" s="1197">
        <v>36</v>
      </c>
      <c r="DI93" s="1194">
        <v>41</v>
      </c>
      <c r="DJ93" s="1688"/>
      <c r="DK93" s="1688"/>
    </row>
    <row r="94" spans="1:115" ht="10.5" customHeight="1">
      <c r="A94" s="1259" t="s">
        <v>706</v>
      </c>
      <c r="B94" s="1259"/>
      <c r="C94" s="1259"/>
      <c r="D94" s="1170"/>
      <c r="E94" s="1170"/>
      <c r="F94" s="1170"/>
      <c r="G94" s="1170"/>
      <c r="H94" s="1170"/>
      <c r="I94" s="1170"/>
      <c r="J94" s="1170"/>
      <c r="K94" s="1170"/>
      <c r="L94" s="1170"/>
      <c r="M94" s="1170"/>
      <c r="N94" s="1170"/>
      <c r="O94" s="1170"/>
      <c r="P94" s="1170"/>
      <c r="Q94" s="1170"/>
      <c r="R94" s="1243" t="s">
        <v>705</v>
      </c>
      <c r="S94" s="1244"/>
      <c r="T94" s="1244"/>
      <c r="U94" s="1244"/>
      <c r="V94" s="1244"/>
      <c r="W94" s="1244"/>
      <c r="X94" s="1244"/>
      <c r="Y94" s="1244"/>
      <c r="Z94" s="1244"/>
      <c r="AA94" s="1244"/>
      <c r="AB94" s="1244"/>
      <c r="AC94" s="1244"/>
      <c r="AD94" s="1244"/>
      <c r="AE94" s="1244"/>
      <c r="AF94" s="1244"/>
      <c r="AG94" s="1244"/>
      <c r="AH94" s="1244"/>
      <c r="AI94" s="1244"/>
      <c r="AJ94" s="1244"/>
      <c r="AK94" s="1244"/>
      <c r="AL94" s="1244"/>
      <c r="AM94" s="1244"/>
      <c r="AN94" s="1244"/>
      <c r="AO94" s="1244"/>
      <c r="AP94" s="1244"/>
      <c r="AQ94" s="1244"/>
      <c r="AR94" s="1244"/>
      <c r="AS94" s="1244"/>
      <c r="AT94" s="1244"/>
      <c r="AU94" s="1244"/>
      <c r="AV94" s="1244"/>
      <c r="AW94" s="1244"/>
      <c r="AX94" s="1244"/>
      <c r="AY94" s="1244"/>
      <c r="AZ94" s="1244"/>
      <c r="BA94" s="1244"/>
      <c r="BB94" s="1244"/>
      <c r="BC94" s="1244"/>
      <c r="BD94" s="1244"/>
      <c r="BE94" s="186"/>
      <c r="BF94" s="1468"/>
      <c r="BG94" s="1229"/>
      <c r="BH94" s="1229"/>
      <c r="BI94" s="1229"/>
      <c r="BJ94" s="1229"/>
      <c r="BK94" s="1229"/>
      <c r="BL94" s="1229"/>
      <c r="BM94" s="1229"/>
      <c r="BN94" s="1229"/>
      <c r="BO94" s="1229"/>
      <c r="BP94" s="1229"/>
      <c r="BQ94" s="1229"/>
      <c r="BR94" s="1229"/>
      <c r="BS94" s="1229"/>
      <c r="BT94" s="1229"/>
      <c r="BU94" s="1229"/>
      <c r="BV94" s="1229"/>
      <c r="BW94" s="1229"/>
      <c r="BX94" s="1229"/>
      <c r="BY94" s="1229"/>
      <c r="BZ94" s="1231"/>
      <c r="CA94" s="1231"/>
      <c r="CB94" s="1231"/>
      <c r="CC94" s="431"/>
      <c r="CD94" s="1203"/>
      <c r="CE94" s="1203"/>
      <c r="CF94" s="1203"/>
      <c r="CG94" s="1203"/>
      <c r="CH94" s="1204"/>
      <c r="CI94" s="1201"/>
      <c r="CJ94" s="1201"/>
      <c r="CK94" s="1201"/>
      <c r="CL94" s="1204"/>
      <c r="CM94" s="1219"/>
      <c r="CN94" s="1219"/>
      <c r="CO94" s="1219"/>
      <c r="CP94" s="1204"/>
      <c r="CQ94" s="1222"/>
      <c r="CR94" s="1222"/>
      <c r="CS94" s="1222"/>
      <c r="CT94" s="1222"/>
      <c r="CU94" s="1222"/>
      <c r="CV94" s="1222"/>
      <c r="CW94" s="1222"/>
      <c r="CX94" s="186" t="str">
        <f>CONCATENATE(IF(CX93&lt;&gt;0,CONCATENATE(IF(CX93&gt;0,"+",""),CX93,"Env."),""),IF(CY93&lt;&gt;0,CONCATENATE(IF(CY93&gt;0,"+",""),CY93,"Misc"),""),IF(CZ93&lt;&gt;0,CONCATENATE(IF(CZ93&gt;0,"+",""),CZ93,"Size"),""),IF(DA93&lt;&gt;0,CONCATENATE(IF(DA93&gt;0,"+",""),DA93,"Race"),""),IF(DB93&lt;&gt;0,CONCATENATE(IF(DB93&gt;0,"+",""),DB93,"Cmp."),""),IF(DC93&lt;&gt;0,CONCATENATE(IF(DC93&gt;0,"+",""),DC93),""),IF(DE93="-","",IF(DE93=0,"",CONCATENATE(DE93,"ACP"))))</f>
        <v>-5ACP</v>
      </c>
      <c r="CY94" s="186"/>
      <c r="CZ94" s="186"/>
      <c r="DA94" s="186"/>
      <c r="DB94" s="186"/>
      <c r="DG94" s="192"/>
      <c r="DH94" s="1197"/>
      <c r="DI94" s="1194"/>
      <c r="DJ94" s="1688"/>
      <c r="DK94" s="1688"/>
    </row>
    <row r="95" spans="1:115" ht="10.5" customHeight="1" thickBot="1">
      <c r="A95" s="431"/>
      <c r="B95" s="431"/>
      <c r="C95" s="431"/>
      <c r="D95" s="431"/>
      <c r="E95" s="431"/>
      <c r="F95" s="431"/>
      <c r="G95" s="431"/>
      <c r="H95" s="431"/>
      <c r="I95" s="431"/>
      <c r="J95" s="431"/>
      <c r="K95" s="431"/>
      <c r="L95" s="431"/>
      <c r="M95" s="431"/>
      <c r="N95" s="431"/>
      <c r="O95" s="431"/>
      <c r="P95" s="431"/>
      <c r="Q95" s="431"/>
      <c r="R95" s="1243" t="s">
        <v>705</v>
      </c>
      <c r="S95" s="1244"/>
      <c r="T95" s="1244"/>
      <c r="U95" s="1244"/>
      <c r="V95" s="1244"/>
      <c r="W95" s="1244"/>
      <c r="X95" s="1244"/>
      <c r="Y95" s="1244"/>
      <c r="Z95" s="1244"/>
      <c r="AA95" s="1244"/>
      <c r="AB95" s="1244"/>
      <c r="AC95" s="1244"/>
      <c r="AD95" s="1244"/>
      <c r="AE95" s="1244"/>
      <c r="AF95" s="1244"/>
      <c r="AG95" s="1244"/>
      <c r="AH95" s="1244"/>
      <c r="AI95" s="1244"/>
      <c r="AJ95" s="1244"/>
      <c r="AK95" s="1244"/>
      <c r="AL95" s="1244"/>
      <c r="AM95" s="1244"/>
      <c r="AN95" s="1244"/>
      <c r="AO95" s="1244"/>
      <c r="AP95" s="1244"/>
      <c r="AQ95" s="1244"/>
      <c r="AR95" s="1244"/>
      <c r="AS95" s="1244"/>
      <c r="AT95" s="1244"/>
      <c r="AU95" s="1244"/>
      <c r="AV95" s="1244"/>
      <c r="AW95" s="1244"/>
      <c r="AX95" s="1244"/>
      <c r="AY95" s="1244"/>
      <c r="AZ95" s="1244"/>
      <c r="BA95" s="1244"/>
      <c r="BB95" s="1244"/>
      <c r="BC95" s="1244"/>
      <c r="BD95" s="1244"/>
      <c r="BE95" s="186"/>
      <c r="BF95" s="1468">
        <f ca="1">INDIRECT(ADDRESS(ROW(BF95),111+$BF$28))</f>
        <v>37</v>
      </c>
      <c r="BG95" s="1228" t="str">
        <f>IF(BF95=60,"",INDEX('技能'!$B$12:$B$70,BF95))</f>
        <v>Spellcraft</v>
      </c>
      <c r="BH95" s="1228"/>
      <c r="BI95" s="1228"/>
      <c r="BJ95" s="1228"/>
      <c r="BK95" s="1228"/>
      <c r="BL95" s="1228"/>
      <c r="BM95" s="1228"/>
      <c r="BN95" s="1228"/>
      <c r="BO95" s="1228"/>
      <c r="BP95" s="1228"/>
      <c r="BQ95" s="1228"/>
      <c r="BR95" s="1228"/>
      <c r="BS95" s="1228"/>
      <c r="BT95" s="1228"/>
      <c r="BU95" s="1228"/>
      <c r="BV95" s="1228"/>
      <c r="BW95" s="1228"/>
      <c r="BX95" s="1228"/>
      <c r="BY95" s="1228"/>
      <c r="BZ95" s="1230" t="str">
        <f>IF(BF95=60,"",INDEX('技能'!$D$12:$D$70,BF95))</f>
        <v>INT</v>
      </c>
      <c r="CA95" s="1230"/>
      <c r="CB95" s="1230"/>
      <c r="CC95" s="431">
        <f>IF(BF95=60,"",IF(INDEX('技能'!$P$12:$P$70,BF95)=0,"*",""))</f>
      </c>
      <c r="CD95" s="1202">
        <f>IF(BF95=60,"",IF(BZ95="なし","-",INDEX('技能'!$E$12:$E$70,BF95)))</f>
        <v>0</v>
      </c>
      <c r="CE95" s="1202"/>
      <c r="CF95" s="1202"/>
      <c r="CG95" s="1202"/>
      <c r="CH95" s="1204" t="s">
        <v>213</v>
      </c>
      <c r="CI95" s="1227">
        <f>IF(BF95=60,"",IF(BZ95="なし","-",INDEX('技能'!$F$12:$F$70,BF95)))</f>
        <v>0</v>
      </c>
      <c r="CJ95" s="1227"/>
      <c r="CK95" s="1227"/>
      <c r="CL95" s="1204" t="s">
        <v>214</v>
      </c>
      <c r="CM95" s="1218">
        <f>IF(BF95=60,"",IF(INDEX('技能'!$G$12:$G$70,BF95)&lt;&gt;0,INDEX('技能'!$O$12:$O$70,BF95)&amp;"#",INDEX('技能'!$O$12:$O$70,BF95)))</f>
        <v>0</v>
      </c>
      <c r="CN95" s="1218"/>
      <c r="CO95" s="1218"/>
      <c r="CP95" s="1204"/>
      <c r="CQ95" s="1220">
        <f>IF(BF95=60,"",IF(LEN(CX96)&lt;=14,CX96,CONCATENATE(IF(SUM(CX95:DD95)&gt;=0,"+",""),SUM(CX95:DD95),"(Total)")))</f>
      </c>
      <c r="CR95" s="1221"/>
      <c r="CS95" s="1221"/>
      <c r="CT95" s="1221"/>
      <c r="CU95" s="1221"/>
      <c r="CV95" s="1221"/>
      <c r="CW95" s="1221"/>
      <c r="CX95" s="186">
        <f>INDEX('技能'!$J$12:$J$71,' 印刷'!BF95)</f>
        <v>0</v>
      </c>
      <c r="CY95" s="186">
        <f>INDEX('技能'!$K$12:$K$71,BF95)</f>
        <v>0</v>
      </c>
      <c r="CZ95" s="186">
        <f>INDEX('技能'!$L$12:$L$71,BF95)</f>
        <v>0</v>
      </c>
      <c r="DA95" s="186">
        <f>INDEX('技能'!$M$12:$M$71,BF95)</f>
        <v>0</v>
      </c>
      <c r="DB95" s="186">
        <f>INDEX('技能'!$I$12:$I$71,BF95)</f>
        <v>0</v>
      </c>
      <c r="DC95" s="186">
        <f>INDEX('技能'!$H$12:$H$71,BF95)</f>
        <v>0</v>
      </c>
      <c r="DD95" s="186">
        <f>INDEX('技能'!$G$12:$G$71,BF95)</f>
        <v>0</v>
      </c>
      <c r="DE95" s="186" t="str">
        <f>INDEX('技能'!$P$12:$P$71,BF95)</f>
        <v>-</v>
      </c>
      <c r="DF95" s="351" t="str">
        <f>INDEX('技能'!$N$12:$N$71,BF95)</f>
        <v>Yes</v>
      </c>
      <c r="DG95" s="192"/>
      <c r="DH95" s="1197">
        <v>37</v>
      </c>
      <c r="DI95" s="1194">
        <v>42</v>
      </c>
      <c r="DJ95" s="1688"/>
      <c r="DK95" s="1688"/>
    </row>
    <row r="96" spans="1:115" ht="10.5" customHeight="1">
      <c r="A96" s="1253" t="s">
        <v>697</v>
      </c>
      <c r="B96" s="1254"/>
      <c r="C96" s="1254"/>
      <c r="D96" s="1254"/>
      <c r="E96" s="1254"/>
      <c r="F96" s="1254"/>
      <c r="G96" s="1254"/>
      <c r="H96" s="1254"/>
      <c r="I96" s="1254"/>
      <c r="J96" s="1254"/>
      <c r="K96" s="1254"/>
      <c r="L96" s="1254"/>
      <c r="M96" s="1254"/>
      <c r="N96" s="1254"/>
      <c r="O96" s="1254"/>
      <c r="P96" s="1254"/>
      <c r="Q96" s="1255"/>
      <c r="R96" s="473">
        <v>3</v>
      </c>
      <c r="S96" s="474">
        <f>INDEX('能力'!$O$98:$O$107,R96)</f>
        <v>18</v>
      </c>
      <c r="T96" s="474">
        <f>INDEX('能力'!$BG$98:$BG$107,R96)</f>
      </c>
      <c r="U96" s="475">
        <f>INDEX('能力'!$AQ$98:$AQ$107,R96)</f>
      </c>
      <c r="V96" s="476"/>
      <c r="W96" s="477"/>
      <c r="X96" s="477"/>
      <c r="Y96" s="477"/>
      <c r="Z96" s="477"/>
      <c r="AA96" s="477"/>
      <c r="AB96" s="477"/>
      <c r="AC96" s="477"/>
      <c r="AD96" s="477"/>
      <c r="AE96" s="477"/>
      <c r="AF96" s="476"/>
      <c r="AG96" s="469"/>
      <c r="AH96" s="469"/>
      <c r="AI96" s="469"/>
      <c r="AJ96" s="469"/>
      <c r="AK96" s="469"/>
      <c r="AL96" s="469"/>
      <c r="AM96" s="469"/>
      <c r="AN96" s="469"/>
      <c r="AO96" s="469"/>
      <c r="AP96" s="469"/>
      <c r="AQ96" s="469"/>
      <c r="AR96" s="469"/>
      <c r="AS96" s="469"/>
      <c r="AT96" s="469"/>
      <c r="AU96" s="469"/>
      <c r="AV96" s="469"/>
      <c r="AW96" s="469"/>
      <c r="AX96" s="469"/>
      <c r="AY96" s="469"/>
      <c r="AZ96" s="469"/>
      <c r="BA96" s="469"/>
      <c r="BB96" s="469"/>
      <c r="BC96" s="469"/>
      <c r="BD96" s="469"/>
      <c r="BE96" s="186"/>
      <c r="BF96" s="1468"/>
      <c r="BG96" s="1229"/>
      <c r="BH96" s="1229"/>
      <c r="BI96" s="1229"/>
      <c r="BJ96" s="1229"/>
      <c r="BK96" s="1229"/>
      <c r="BL96" s="1229"/>
      <c r="BM96" s="1229"/>
      <c r="BN96" s="1229"/>
      <c r="BO96" s="1229"/>
      <c r="BP96" s="1229"/>
      <c r="BQ96" s="1229"/>
      <c r="BR96" s="1229"/>
      <c r="BS96" s="1229"/>
      <c r="BT96" s="1229"/>
      <c r="BU96" s="1229"/>
      <c r="BV96" s="1229"/>
      <c r="BW96" s="1229"/>
      <c r="BX96" s="1229"/>
      <c r="BY96" s="1229"/>
      <c r="BZ96" s="1231"/>
      <c r="CA96" s="1231"/>
      <c r="CB96" s="1231"/>
      <c r="CC96" s="431"/>
      <c r="CD96" s="1203"/>
      <c r="CE96" s="1203"/>
      <c r="CF96" s="1203"/>
      <c r="CG96" s="1203"/>
      <c r="CH96" s="1204"/>
      <c r="CI96" s="1201"/>
      <c r="CJ96" s="1201"/>
      <c r="CK96" s="1201"/>
      <c r="CL96" s="1204"/>
      <c r="CM96" s="1219"/>
      <c r="CN96" s="1219"/>
      <c r="CO96" s="1219"/>
      <c r="CP96" s="1204"/>
      <c r="CQ96" s="1222"/>
      <c r="CR96" s="1222"/>
      <c r="CS96" s="1222"/>
      <c r="CT96" s="1222"/>
      <c r="CU96" s="1222"/>
      <c r="CV96" s="1222"/>
      <c r="CW96" s="1222"/>
      <c r="CX96" s="186">
        <f>CONCATENATE(IF(CX95&lt;&gt;0,CONCATENATE(IF(CX95&gt;0,"+",""),CX95,"Env."),""),IF(CY95&lt;&gt;0,CONCATENATE(IF(CY95&gt;0,"+",""),CY95,"Misc"),""),IF(CZ95&lt;&gt;0,CONCATENATE(IF(CZ95&gt;0,"+",""),CZ95,"Size"),""),IF(DA95&lt;&gt;0,CONCATENATE(IF(DA95&gt;0,"+",""),DA95,"Race"),""),IF(DB95&lt;&gt;0,CONCATENATE(IF(DB95&gt;0,"+",""),DB95,"Cmp."),""),IF(DC95&lt;&gt;0,CONCATENATE(IF(DC95&gt;0,"+",""),DC95),""),IF(DE95="-","",IF(DE95=0,"",CONCATENATE(DE95,"ACP"))))</f>
      </c>
      <c r="CY96" s="186"/>
      <c r="CZ96" s="186"/>
      <c r="DA96" s="186"/>
      <c r="DB96" s="186"/>
      <c r="DG96" s="192"/>
      <c r="DH96" s="1197"/>
      <c r="DI96" s="1194"/>
      <c r="DJ96" s="1688"/>
      <c r="DK96" s="1688"/>
    </row>
    <row r="97" spans="1:115" ht="10.5" customHeight="1" thickBot="1">
      <c r="A97" s="1256"/>
      <c r="B97" s="1257"/>
      <c r="C97" s="1257"/>
      <c r="D97" s="1257"/>
      <c r="E97" s="1257"/>
      <c r="F97" s="1257"/>
      <c r="G97" s="1257"/>
      <c r="H97" s="1257"/>
      <c r="I97" s="1257"/>
      <c r="J97" s="1257"/>
      <c r="K97" s="1257"/>
      <c r="L97" s="1257"/>
      <c r="M97" s="1257"/>
      <c r="N97" s="1257"/>
      <c r="O97" s="1257"/>
      <c r="P97" s="1257"/>
      <c r="Q97" s="1258"/>
      <c r="R97" s="1479" t="s">
        <v>698</v>
      </c>
      <c r="S97" s="1480"/>
      <c r="T97" s="1480"/>
      <c r="U97" s="1480"/>
      <c r="V97" s="1480"/>
      <c r="W97" s="1480"/>
      <c r="X97" s="1480"/>
      <c r="Y97" s="1480"/>
      <c r="Z97" s="1480"/>
      <c r="AA97" s="1480"/>
      <c r="AB97" s="1480"/>
      <c r="AC97" s="1480"/>
      <c r="AD97" s="1480"/>
      <c r="AE97" s="1480"/>
      <c r="AF97" s="1480"/>
      <c r="AG97" s="1480"/>
      <c r="AH97" s="1480"/>
      <c r="AI97" s="1480"/>
      <c r="AJ97" s="1481"/>
      <c r="AK97" s="1260" t="s">
        <v>635</v>
      </c>
      <c r="AL97" s="1261"/>
      <c r="AM97" s="1261"/>
      <c r="AN97" s="1261"/>
      <c r="AO97" s="1261"/>
      <c r="AP97" s="1261"/>
      <c r="AQ97" s="1261"/>
      <c r="AR97" s="1261"/>
      <c r="AS97" s="1261"/>
      <c r="AT97" s="1262"/>
      <c r="AU97" s="1260" t="s">
        <v>636</v>
      </c>
      <c r="AV97" s="1261"/>
      <c r="AW97" s="1261"/>
      <c r="AX97" s="1261"/>
      <c r="AY97" s="1261"/>
      <c r="AZ97" s="1261"/>
      <c r="BA97" s="1261"/>
      <c r="BB97" s="1261"/>
      <c r="BC97" s="1261"/>
      <c r="BD97" s="1262"/>
      <c r="BE97" s="213"/>
      <c r="BF97" s="1468">
        <f ca="1">INDIRECT(ADDRESS(ROW(BF97),111+$BF$28))</f>
        <v>38</v>
      </c>
      <c r="BG97" s="1228" t="str">
        <f>IF(BF97=60,"",INDEX('技能'!$B$12:$B$70,BF97))</f>
        <v>Stealth</v>
      </c>
      <c r="BH97" s="1228"/>
      <c r="BI97" s="1228"/>
      <c r="BJ97" s="1228"/>
      <c r="BK97" s="1228"/>
      <c r="BL97" s="1228"/>
      <c r="BM97" s="1228"/>
      <c r="BN97" s="1228"/>
      <c r="BO97" s="1228"/>
      <c r="BP97" s="1228"/>
      <c r="BQ97" s="1228"/>
      <c r="BR97" s="1228"/>
      <c r="BS97" s="1228"/>
      <c r="BT97" s="1228"/>
      <c r="BU97" s="1228"/>
      <c r="BV97" s="1228"/>
      <c r="BW97" s="1228"/>
      <c r="BX97" s="1228"/>
      <c r="BY97" s="1228"/>
      <c r="BZ97" s="1230" t="str">
        <f>IF(BF97=60,"",INDEX('技能'!$D$12:$D$70,BF97))</f>
        <v>DEX</v>
      </c>
      <c r="CA97" s="1230"/>
      <c r="CB97" s="1230"/>
      <c r="CC97" s="431">
        <f>IF(BF97=60,"",IF(INDEX('技能'!$P$12:$P$70,BF97)=0,"*",""))</f>
      </c>
      <c r="CD97" s="1202" t="str">
        <f>IF(BF97=60,"",IF(BZ97="なし","-",INDEX('技能'!$E$12:$E$70,BF97)))</f>
        <v>-</v>
      </c>
      <c r="CE97" s="1202"/>
      <c r="CF97" s="1202"/>
      <c r="CG97" s="1202"/>
      <c r="CH97" s="1204" t="s">
        <v>213</v>
      </c>
      <c r="CI97" s="1227">
        <f>IF(BF97=60,"",IF(BZ97="なし","-",INDEX('技能'!$F$12:$F$70,BF97)))</f>
        <v>0</v>
      </c>
      <c r="CJ97" s="1227"/>
      <c r="CK97" s="1227"/>
      <c r="CL97" s="1204" t="s">
        <v>214</v>
      </c>
      <c r="CM97" s="1218">
        <f>IF(BF97=60,"",IF(INDEX('技能'!$G$12:$G$70,BF97)&lt;&gt;0,INDEX('技能'!$O$12:$O$70,BF97)&amp;"#",INDEX('技能'!$O$12:$O$70,BF97)))</f>
        <v>0</v>
      </c>
      <c r="CN97" s="1218"/>
      <c r="CO97" s="1218"/>
      <c r="CP97" s="1204"/>
      <c r="CQ97" s="1220" t="str">
        <f>IF(BF97=60,"",IF(LEN(CX98)&lt;=14,CX98,CONCATENATE(IF(SUM(CX97:DD97)&gt;=0,"+",""),SUM(CX97:DD97),"(Total)")))</f>
        <v>-5ACP</v>
      </c>
      <c r="CR97" s="1221"/>
      <c r="CS97" s="1221"/>
      <c r="CT97" s="1221"/>
      <c r="CU97" s="1221"/>
      <c r="CV97" s="1221"/>
      <c r="CW97" s="1221"/>
      <c r="CX97" s="186">
        <f>INDEX('技能'!$J$12:$J$71,' 印刷'!BF97)</f>
        <v>0</v>
      </c>
      <c r="CY97" s="186">
        <f>INDEX('技能'!$K$12:$K$71,BF97)</f>
        <v>0</v>
      </c>
      <c r="CZ97" s="186">
        <f>INDEX('技能'!$L$12:$L$71,BF97)</f>
        <v>0</v>
      </c>
      <c r="DA97" s="186">
        <f>INDEX('技能'!$M$12:$M$71,BF97)</f>
        <v>0</v>
      </c>
      <c r="DB97" s="186">
        <f>INDEX('技能'!$I$12:$I$71,BF97)</f>
        <v>0</v>
      </c>
      <c r="DC97" s="186">
        <f>INDEX('技能'!$H$12:$H$71,BF97)</f>
        <v>0</v>
      </c>
      <c r="DD97" s="186">
        <f>INDEX('技能'!$G$12:$G$71,BF97)</f>
        <v>0</v>
      </c>
      <c r="DE97" s="186">
        <f>INDEX('技能'!$P$12:$P$71,BF97)</f>
        <v>-5</v>
      </c>
      <c r="DF97" s="351" t="str">
        <f>INDEX('技能'!$N$12:$N$71,BF97)</f>
        <v>Yes</v>
      </c>
      <c r="DG97" s="192"/>
      <c r="DH97" s="1197">
        <v>38</v>
      </c>
      <c r="DI97" s="1194">
        <v>43</v>
      </c>
      <c r="DJ97" s="1688"/>
      <c r="DK97" s="1688"/>
    </row>
    <row r="98" spans="1:115" ht="10.5" customHeight="1">
      <c r="A98" s="1579" t="str">
        <f>IF(R96=10,"",INDEX('能力'!$G$98:$G$106,R96))</f>
        <v>Claw</v>
      </c>
      <c r="B98" s="1579"/>
      <c r="C98" s="1579"/>
      <c r="D98" s="1579"/>
      <c r="E98" s="1579"/>
      <c r="F98" s="1579"/>
      <c r="G98" s="1579"/>
      <c r="H98" s="1579"/>
      <c r="I98" s="1579"/>
      <c r="J98" s="1579"/>
      <c r="K98" s="1579"/>
      <c r="L98" s="1579"/>
      <c r="M98" s="1579"/>
      <c r="N98" s="1579"/>
      <c r="O98" s="1579"/>
      <c r="P98" s="1579"/>
      <c r="Q98" s="1579"/>
      <c r="R98" s="1284" t="str">
        <f>IF(R96=10,"",IF(S96&gt;0,"+","")&amp;S96&amp;IF($AU$65&gt;=6,"/"&amp;IF(S96-5&gt;=0,"+","")&amp;(S96-5),"")&amp;IF($AU$65&gt;=11,"/"&amp;IF(S96-10&gt;=0,"+","")&amp;(S96-10),"")&amp;IF($AU$65&gt;=16,"/"&amp;IF(S96-15&gt;=0,"+","")&amp;(S96-15),""))</f>
        <v>+18/+13/+8</v>
      </c>
      <c r="S98" s="1284"/>
      <c r="T98" s="1284"/>
      <c r="U98" s="1284"/>
      <c r="V98" s="1284"/>
      <c r="W98" s="1284"/>
      <c r="X98" s="1284"/>
      <c r="Y98" s="1284"/>
      <c r="Z98" s="1284"/>
      <c r="AA98" s="1284"/>
      <c r="AB98" s="1284"/>
      <c r="AC98" s="1284"/>
      <c r="AD98" s="1284"/>
      <c r="AE98" s="1284"/>
      <c r="AF98" s="1284"/>
      <c r="AG98" s="1284"/>
      <c r="AH98" s="1284"/>
      <c r="AI98" s="1284"/>
      <c r="AJ98" s="1284"/>
      <c r="AK98" s="1602" t="str">
        <f>IF(R96=10,"",CONCATENATE(INDEX('能力'!$AL$98:$AL$106,R96),INDEX('能力'!$AO$98:$AO$106,R96)))</f>
        <v>1d6</v>
      </c>
      <c r="AL98" s="1602"/>
      <c r="AM98" s="1602"/>
      <c r="AN98" s="1602"/>
      <c r="AO98" s="1602"/>
      <c r="AP98" s="1602"/>
      <c r="AQ98" s="1602"/>
      <c r="AR98" s="1602"/>
      <c r="AS98" s="1602"/>
      <c r="AT98" s="1602"/>
      <c r="AU98" s="1482" t="str">
        <f>IF(R96=10,"",CONCATENATE(IF(INDEX('能力'!$BC$98:$BC$106,R96)=20,"",CONCATENATE(INDEX('能力'!$BC$98:$BC$106,R96),"/")),INDEX('能力'!$BA$98:$BA$106,R96)))</f>
        <v>x2</v>
      </c>
      <c r="AV98" s="1482"/>
      <c r="AW98" s="1482"/>
      <c r="AX98" s="1482"/>
      <c r="AY98" s="1482"/>
      <c r="AZ98" s="1482"/>
      <c r="BA98" s="1482"/>
      <c r="BB98" s="1482"/>
      <c r="BC98" s="1482"/>
      <c r="BD98" s="1482"/>
      <c r="BE98" s="186"/>
      <c r="BF98" s="1468"/>
      <c r="BG98" s="1229"/>
      <c r="BH98" s="1229"/>
      <c r="BI98" s="1229"/>
      <c r="BJ98" s="1229"/>
      <c r="BK98" s="1229"/>
      <c r="BL98" s="1229"/>
      <c r="BM98" s="1229"/>
      <c r="BN98" s="1229"/>
      <c r="BO98" s="1229"/>
      <c r="BP98" s="1229"/>
      <c r="BQ98" s="1229"/>
      <c r="BR98" s="1229"/>
      <c r="BS98" s="1229"/>
      <c r="BT98" s="1229"/>
      <c r="BU98" s="1229"/>
      <c r="BV98" s="1229"/>
      <c r="BW98" s="1229"/>
      <c r="BX98" s="1229"/>
      <c r="BY98" s="1229"/>
      <c r="BZ98" s="1231"/>
      <c r="CA98" s="1231"/>
      <c r="CB98" s="1231"/>
      <c r="CC98" s="431"/>
      <c r="CD98" s="1203"/>
      <c r="CE98" s="1203"/>
      <c r="CF98" s="1203"/>
      <c r="CG98" s="1203"/>
      <c r="CH98" s="1204"/>
      <c r="CI98" s="1201"/>
      <c r="CJ98" s="1201"/>
      <c r="CK98" s="1201"/>
      <c r="CL98" s="1204"/>
      <c r="CM98" s="1219"/>
      <c r="CN98" s="1219"/>
      <c r="CO98" s="1219"/>
      <c r="CP98" s="1204"/>
      <c r="CQ98" s="1222"/>
      <c r="CR98" s="1222"/>
      <c r="CS98" s="1222"/>
      <c r="CT98" s="1222"/>
      <c r="CU98" s="1222"/>
      <c r="CV98" s="1222"/>
      <c r="CW98" s="1222"/>
      <c r="CX98" s="186" t="str">
        <f>CONCATENATE(IF(CX97&lt;&gt;0,CONCATENATE(IF(CX97&gt;0,"+",""),CX97,"Env."),""),IF(CY97&lt;&gt;0,CONCATENATE(IF(CY97&gt;0,"+",""),CY97,"Misc"),""),IF(CZ97&lt;&gt;0,CONCATENATE(IF(CZ97&gt;0,"+",""),CZ97,"Size"),""),IF(DA97&lt;&gt;0,CONCATENATE(IF(DA97&gt;0,"+",""),DA97,"Race"),""),IF(DB97&lt;&gt;0,CONCATENATE(IF(DB97&gt;0,"+",""),DB97,"Cmp."),""),IF(DC97&lt;&gt;0,CONCATENATE(IF(DC97&gt;0,"+",""),DC97),""),IF(DE97="-","",IF(DE97=0,"",CONCATENATE(DE97,"ACP"))))</f>
        <v>-5ACP</v>
      </c>
      <c r="CY98" s="186"/>
      <c r="CZ98" s="186"/>
      <c r="DA98" s="186"/>
      <c r="DB98" s="186"/>
      <c r="DG98" s="192"/>
      <c r="DH98" s="1197"/>
      <c r="DI98" s="1194"/>
      <c r="DJ98" s="1688"/>
      <c r="DK98" s="1688"/>
    </row>
    <row r="99" spans="1:115" ht="10.5" customHeight="1">
      <c r="A99" s="1580"/>
      <c r="B99" s="1580"/>
      <c r="C99" s="1580"/>
      <c r="D99" s="1580"/>
      <c r="E99" s="1580"/>
      <c r="F99" s="1580"/>
      <c r="G99" s="1580"/>
      <c r="H99" s="1580"/>
      <c r="I99" s="1580"/>
      <c r="J99" s="1580"/>
      <c r="K99" s="1580"/>
      <c r="L99" s="1580"/>
      <c r="M99" s="1580"/>
      <c r="N99" s="1580"/>
      <c r="O99" s="1580"/>
      <c r="P99" s="1580"/>
      <c r="Q99" s="1580"/>
      <c r="R99" s="1285"/>
      <c r="S99" s="1285"/>
      <c r="T99" s="1285"/>
      <c r="U99" s="1285"/>
      <c r="V99" s="1285"/>
      <c r="W99" s="1285"/>
      <c r="X99" s="1285"/>
      <c r="Y99" s="1285"/>
      <c r="Z99" s="1285"/>
      <c r="AA99" s="1285"/>
      <c r="AB99" s="1285"/>
      <c r="AC99" s="1285"/>
      <c r="AD99" s="1285"/>
      <c r="AE99" s="1285"/>
      <c r="AF99" s="1285"/>
      <c r="AG99" s="1285"/>
      <c r="AH99" s="1285"/>
      <c r="AI99" s="1285"/>
      <c r="AJ99" s="1285"/>
      <c r="AK99" s="1603"/>
      <c r="AL99" s="1603"/>
      <c r="AM99" s="1603"/>
      <c r="AN99" s="1603"/>
      <c r="AO99" s="1603"/>
      <c r="AP99" s="1603"/>
      <c r="AQ99" s="1603"/>
      <c r="AR99" s="1603"/>
      <c r="AS99" s="1603"/>
      <c r="AT99" s="1603"/>
      <c r="AU99" s="1483"/>
      <c r="AV99" s="1483"/>
      <c r="AW99" s="1483"/>
      <c r="AX99" s="1483"/>
      <c r="AY99" s="1483"/>
      <c r="AZ99" s="1483"/>
      <c r="BA99" s="1483"/>
      <c r="BB99" s="1483"/>
      <c r="BC99" s="1483"/>
      <c r="BD99" s="1483"/>
      <c r="BE99" s="186"/>
      <c r="BF99" s="1468">
        <f ca="1">INDIRECT(ADDRESS(ROW(BF99),111+$BF$28))</f>
        <v>39</v>
      </c>
      <c r="BG99" s="1228" t="str">
        <f>IF(BF99=60,"",INDEX('技能'!$B$12:$B$70,BF99))</f>
        <v>Survival</v>
      </c>
      <c r="BH99" s="1228"/>
      <c r="BI99" s="1228"/>
      <c r="BJ99" s="1228"/>
      <c r="BK99" s="1228"/>
      <c r="BL99" s="1228"/>
      <c r="BM99" s="1228"/>
      <c r="BN99" s="1228"/>
      <c r="BO99" s="1228"/>
      <c r="BP99" s="1228"/>
      <c r="BQ99" s="1228"/>
      <c r="BR99" s="1228"/>
      <c r="BS99" s="1228"/>
      <c r="BT99" s="1228"/>
      <c r="BU99" s="1228"/>
      <c r="BV99" s="1228"/>
      <c r="BW99" s="1228"/>
      <c r="BX99" s="1228"/>
      <c r="BY99" s="1228"/>
      <c r="BZ99" s="1230" t="str">
        <f>IF(BF99=60,"",INDEX('技能'!$D$12:$D$70,BF99))</f>
        <v>WIS</v>
      </c>
      <c r="CA99" s="1230"/>
      <c r="CB99" s="1230"/>
      <c r="CC99" s="431">
        <f>IF(BF99=60,"",IF(INDEX('技能'!$P$12:$P$70,BF99)=0,"*",""))</f>
      </c>
      <c r="CD99" s="1202" t="str">
        <f>IF(BF99=60,"",IF(BZ99="なし","-",INDEX('技能'!$E$12:$E$70,BF99)))</f>
        <v>-</v>
      </c>
      <c r="CE99" s="1202"/>
      <c r="CF99" s="1202"/>
      <c r="CG99" s="1202"/>
      <c r="CH99" s="1204" t="s">
        <v>213</v>
      </c>
      <c r="CI99" s="1227">
        <f>IF(BF99=60,"",IF(BZ99="なし","-",INDEX('技能'!$F$12:$F$70,BF99)))</f>
        <v>0</v>
      </c>
      <c r="CJ99" s="1227"/>
      <c r="CK99" s="1227"/>
      <c r="CL99" s="1204" t="s">
        <v>214</v>
      </c>
      <c r="CM99" s="1218">
        <f>IF(BF99=60,"",IF(INDEX('技能'!$G$12:$G$70,BF99)&lt;&gt;0,INDEX('技能'!$O$12:$O$70,BF99)&amp;"#",INDEX('技能'!$O$12:$O$70,BF99)))</f>
        <v>0</v>
      </c>
      <c r="CN99" s="1218"/>
      <c r="CO99" s="1218"/>
      <c r="CP99" s="1204"/>
      <c r="CQ99" s="1220">
        <f>IF(BF99=60,"",IF(LEN(CX100)&lt;=14,CX100,CONCATENATE(IF(SUM(CX99:DD99)&gt;=0,"+",""),SUM(CX99:DD99),"(Total)")))</f>
      </c>
      <c r="CR99" s="1221"/>
      <c r="CS99" s="1221"/>
      <c r="CT99" s="1221"/>
      <c r="CU99" s="1221"/>
      <c r="CV99" s="1221"/>
      <c r="CW99" s="1221"/>
      <c r="CX99" s="186">
        <f>INDEX('技能'!$J$12:$J$71,' 印刷'!BF99)</f>
        <v>0</v>
      </c>
      <c r="CY99" s="186">
        <f>INDEX('技能'!$K$12:$K$71,BF99)</f>
        <v>0</v>
      </c>
      <c r="CZ99" s="186">
        <f>INDEX('技能'!$L$12:$L$71,BF99)</f>
        <v>0</v>
      </c>
      <c r="DA99" s="186">
        <f>INDEX('技能'!$M$12:$M$71,BF99)</f>
        <v>0</v>
      </c>
      <c r="DB99" s="186">
        <f>INDEX('技能'!$I$12:$I$71,BF99)</f>
        <v>0</v>
      </c>
      <c r="DC99" s="186">
        <f>INDEX('技能'!$H$12:$H$71,BF99)</f>
        <v>0</v>
      </c>
      <c r="DD99" s="186">
        <f>INDEX('技能'!$G$12:$G$71,BF99)</f>
        <v>0</v>
      </c>
      <c r="DE99" s="186" t="str">
        <f>INDEX('技能'!$P$12:$P$71,BF99)</f>
        <v>-</v>
      </c>
      <c r="DF99" s="351" t="str">
        <f>INDEX('技能'!$N$12:$N$71,BF99)</f>
        <v>Yes</v>
      </c>
      <c r="DG99" s="192"/>
      <c r="DH99" s="1197">
        <v>39</v>
      </c>
      <c r="DI99" s="1194">
        <v>44</v>
      </c>
      <c r="DJ99" s="1688"/>
      <c r="DK99" s="1688"/>
    </row>
    <row r="100" spans="1:115" ht="10.5" customHeight="1" thickBot="1">
      <c r="A100" s="1581"/>
      <c r="B100" s="1581"/>
      <c r="C100" s="1581"/>
      <c r="D100" s="1581"/>
      <c r="E100" s="1581"/>
      <c r="F100" s="1581"/>
      <c r="G100" s="1581"/>
      <c r="H100" s="1581"/>
      <c r="I100" s="1581"/>
      <c r="J100" s="1581"/>
      <c r="K100" s="1581"/>
      <c r="L100" s="1581"/>
      <c r="M100" s="1581"/>
      <c r="N100" s="1581"/>
      <c r="O100" s="1581"/>
      <c r="P100" s="1581"/>
      <c r="Q100" s="1581"/>
      <c r="R100" s="1286"/>
      <c r="S100" s="1286"/>
      <c r="T100" s="1286"/>
      <c r="U100" s="1286"/>
      <c r="V100" s="1286"/>
      <c r="W100" s="1286"/>
      <c r="X100" s="1286"/>
      <c r="Y100" s="1286"/>
      <c r="Z100" s="1286"/>
      <c r="AA100" s="1286"/>
      <c r="AB100" s="1286"/>
      <c r="AC100" s="1286"/>
      <c r="AD100" s="1286"/>
      <c r="AE100" s="1286"/>
      <c r="AF100" s="1286"/>
      <c r="AG100" s="1286"/>
      <c r="AH100" s="1286"/>
      <c r="AI100" s="1286"/>
      <c r="AJ100" s="1286"/>
      <c r="AK100" s="1604"/>
      <c r="AL100" s="1604"/>
      <c r="AM100" s="1604"/>
      <c r="AN100" s="1604"/>
      <c r="AO100" s="1604"/>
      <c r="AP100" s="1604"/>
      <c r="AQ100" s="1604"/>
      <c r="AR100" s="1604"/>
      <c r="AS100" s="1604"/>
      <c r="AT100" s="1604"/>
      <c r="AU100" s="1484"/>
      <c r="AV100" s="1484"/>
      <c r="AW100" s="1484"/>
      <c r="AX100" s="1484"/>
      <c r="AY100" s="1484"/>
      <c r="AZ100" s="1484"/>
      <c r="BA100" s="1484"/>
      <c r="BB100" s="1484"/>
      <c r="BC100" s="1484"/>
      <c r="BD100" s="1484"/>
      <c r="BE100" s="186"/>
      <c r="BF100" s="1468"/>
      <c r="BG100" s="1229"/>
      <c r="BH100" s="1229"/>
      <c r="BI100" s="1229"/>
      <c r="BJ100" s="1229"/>
      <c r="BK100" s="1229"/>
      <c r="BL100" s="1229"/>
      <c r="BM100" s="1229"/>
      <c r="BN100" s="1229"/>
      <c r="BO100" s="1229"/>
      <c r="BP100" s="1229"/>
      <c r="BQ100" s="1229"/>
      <c r="BR100" s="1229"/>
      <c r="BS100" s="1229"/>
      <c r="BT100" s="1229"/>
      <c r="BU100" s="1229"/>
      <c r="BV100" s="1229"/>
      <c r="BW100" s="1229"/>
      <c r="BX100" s="1229"/>
      <c r="BY100" s="1229"/>
      <c r="BZ100" s="1231"/>
      <c r="CA100" s="1231"/>
      <c r="CB100" s="1231"/>
      <c r="CC100" s="431"/>
      <c r="CD100" s="1203"/>
      <c r="CE100" s="1203"/>
      <c r="CF100" s="1203"/>
      <c r="CG100" s="1203"/>
      <c r="CH100" s="1204"/>
      <c r="CI100" s="1201"/>
      <c r="CJ100" s="1201"/>
      <c r="CK100" s="1201"/>
      <c r="CL100" s="1204"/>
      <c r="CM100" s="1219"/>
      <c r="CN100" s="1219"/>
      <c r="CO100" s="1219"/>
      <c r="CP100" s="1204"/>
      <c r="CQ100" s="1222"/>
      <c r="CR100" s="1222"/>
      <c r="CS100" s="1222"/>
      <c r="CT100" s="1222"/>
      <c r="CU100" s="1222"/>
      <c r="CV100" s="1222"/>
      <c r="CW100" s="1222"/>
      <c r="CX100" s="186">
        <f>CONCATENATE(IF(CX99&lt;&gt;0,CONCATENATE(IF(CX99&gt;0,"+",""),CX99,"Env."),""),IF(CY99&lt;&gt;0,CONCATENATE(IF(CY99&gt;0,"+",""),CY99,"Misc"),""),IF(CZ99&lt;&gt;0,CONCATENATE(IF(CZ99&gt;0,"+",""),CZ99,"Size"),""),IF(DA99&lt;&gt;0,CONCATENATE(IF(DA99&gt;0,"+",""),DA99,"Race"),""),IF(DB99&lt;&gt;0,CONCATENATE(IF(DB99&gt;0,"+",""),DB99,"Cmp."),""),IF(DC99&lt;&gt;0,CONCATENATE(IF(DC99&gt;0,"+",""),DC99),""),IF(DE99="-","",IF(DE99=0,"",CONCATENATE(DE99,"ACP"))))</f>
      </c>
      <c r="CY100" s="186"/>
      <c r="CZ100" s="186"/>
      <c r="DA100" s="186"/>
      <c r="DB100" s="186"/>
      <c r="DG100" s="192"/>
      <c r="DH100" s="1197"/>
      <c r="DI100" s="1194"/>
      <c r="DJ100" s="1688"/>
      <c r="DK100" s="1688"/>
    </row>
    <row r="101" spans="1:115" ht="10.5" customHeight="1" thickBot="1">
      <c r="A101" s="1281" t="s">
        <v>699</v>
      </c>
      <c r="B101" s="1282"/>
      <c r="C101" s="1282"/>
      <c r="D101" s="1282"/>
      <c r="E101" s="1282"/>
      <c r="F101" s="1283"/>
      <c r="G101" s="1281" t="s">
        <v>700</v>
      </c>
      <c r="H101" s="1282"/>
      <c r="I101" s="1282"/>
      <c r="J101" s="1282"/>
      <c r="K101" s="1283"/>
      <c r="L101" s="1281" t="s">
        <v>701</v>
      </c>
      <c r="M101" s="1282"/>
      <c r="N101" s="1282"/>
      <c r="O101" s="1282"/>
      <c r="P101" s="1282"/>
      <c r="Q101" s="1282"/>
      <c r="R101" s="1282"/>
      <c r="S101" s="1282"/>
      <c r="T101" s="1283"/>
      <c r="U101" s="1281" t="s">
        <v>702</v>
      </c>
      <c r="V101" s="1282"/>
      <c r="W101" s="1282"/>
      <c r="X101" s="1282"/>
      <c r="Y101" s="1282"/>
      <c r="Z101" s="1283"/>
      <c r="AA101" s="1282" t="s">
        <v>703</v>
      </c>
      <c r="AB101" s="1282"/>
      <c r="AC101" s="1282"/>
      <c r="AD101" s="1282"/>
      <c r="AE101" s="1282"/>
      <c r="AF101" s="1282"/>
      <c r="AG101" s="1282"/>
      <c r="AH101" s="1282"/>
      <c r="AI101" s="1282"/>
      <c r="AJ101" s="1282"/>
      <c r="AK101" s="1282"/>
      <c r="AL101" s="1282"/>
      <c r="AM101" s="1282"/>
      <c r="AN101" s="1282"/>
      <c r="AO101" s="1282"/>
      <c r="AP101" s="1282"/>
      <c r="AQ101" s="1282"/>
      <c r="AR101" s="1282"/>
      <c r="AS101" s="1282"/>
      <c r="AT101" s="1282"/>
      <c r="AU101" s="1282"/>
      <c r="AV101" s="1282"/>
      <c r="AW101" s="1282"/>
      <c r="AX101" s="1282"/>
      <c r="AY101" s="1282"/>
      <c r="AZ101" s="1282"/>
      <c r="BA101" s="1282"/>
      <c r="BB101" s="1282"/>
      <c r="BC101" s="1282"/>
      <c r="BD101" s="1282"/>
      <c r="BE101" s="213"/>
      <c r="BF101" s="1468">
        <f ca="1">INDIRECT(ADDRESS(ROW(BF101),111+$BF$28))</f>
        <v>40</v>
      </c>
      <c r="BG101" s="1228" t="str">
        <f>IF(BF101=60,"",INDEX('技能'!$B$12:$B$70,BF101))</f>
        <v>Swim</v>
      </c>
      <c r="BH101" s="1228"/>
      <c r="BI101" s="1228"/>
      <c r="BJ101" s="1228"/>
      <c r="BK101" s="1228"/>
      <c r="BL101" s="1228"/>
      <c r="BM101" s="1228"/>
      <c r="BN101" s="1228"/>
      <c r="BO101" s="1228"/>
      <c r="BP101" s="1228"/>
      <c r="BQ101" s="1228"/>
      <c r="BR101" s="1228"/>
      <c r="BS101" s="1228"/>
      <c r="BT101" s="1228"/>
      <c r="BU101" s="1228"/>
      <c r="BV101" s="1228"/>
      <c r="BW101" s="1228"/>
      <c r="BX101" s="1228"/>
      <c r="BY101" s="1228"/>
      <c r="BZ101" s="1230" t="str">
        <f>IF(BF101=60,"",INDEX('技能'!$D$12:$D$70,BF101))</f>
        <v>STR</v>
      </c>
      <c r="CA101" s="1230"/>
      <c r="CB101" s="1230"/>
      <c r="CC101" s="431">
        <f>IF(BF101=60,"",IF(INDEX('技能'!$P$12:$P$70,BF101)=0,"*",""))</f>
      </c>
      <c r="CD101" s="1202">
        <f>IF(BF101=60,"",IF(BZ101="なし","-",INDEX('技能'!$E$12:$E$70,BF101)))</f>
        <v>16</v>
      </c>
      <c r="CE101" s="1202"/>
      <c r="CF101" s="1202"/>
      <c r="CG101" s="1202"/>
      <c r="CH101" s="1204" t="s">
        <v>213</v>
      </c>
      <c r="CI101" s="1227">
        <f>IF(BF101=60,"",IF(BZ101="なし","-",INDEX('技能'!$F$12:$F$70,BF101)))</f>
        <v>7</v>
      </c>
      <c r="CJ101" s="1227"/>
      <c r="CK101" s="1227"/>
      <c r="CL101" s="1204" t="s">
        <v>214</v>
      </c>
      <c r="CM101" s="1218" t="str">
        <f>IF(BF101=60,"",IF(INDEX('技能'!$G$12:$G$70,BF101)&lt;&gt;0,INDEX('技能'!$O$12:$O$70,BF101)&amp;"#",INDEX('技能'!$O$12:$O$70,BF101)))</f>
        <v>11#</v>
      </c>
      <c r="CN101" s="1218"/>
      <c r="CO101" s="1218"/>
      <c r="CP101" s="1204"/>
      <c r="CQ101" s="1220" t="str">
        <f>IF(BF101=60,"",IF(LEN(CX102)&lt;=14,CX102,CONCATENATE(IF(SUM(CX101:DD101)&gt;=0,"+",""),SUM(CX101:DD101),"(Total)")))</f>
        <v>-5ACP</v>
      </c>
      <c r="CR101" s="1221"/>
      <c r="CS101" s="1221"/>
      <c r="CT101" s="1221"/>
      <c r="CU101" s="1221"/>
      <c r="CV101" s="1221"/>
      <c r="CW101" s="1221"/>
      <c r="CX101" s="186">
        <f>INDEX('技能'!$J$12:$J$71,' 印刷'!BF101)</f>
        <v>0</v>
      </c>
      <c r="CY101" s="186">
        <f>INDEX('技能'!$K$12:$K$71,BF101)</f>
        <v>0</v>
      </c>
      <c r="CZ101" s="186">
        <f>INDEX('技能'!$L$12:$L$71,BF101)</f>
        <v>0</v>
      </c>
      <c r="DA101" s="186">
        <f>INDEX('技能'!$M$12:$M$71,BF101)</f>
        <v>0</v>
      </c>
      <c r="DB101" s="186">
        <f>INDEX('技能'!$I$12:$I$71,BF101)</f>
        <v>0</v>
      </c>
      <c r="DC101" s="186">
        <f>INDEX('技能'!$H$12:$H$71,BF101)</f>
        <v>0</v>
      </c>
      <c r="DD101" s="186">
        <f>INDEX('技能'!$G$12:$G$71,BF101)</f>
        <v>1</v>
      </c>
      <c r="DE101" s="186">
        <f>INDEX('技能'!$P$12:$P$71,BF101)</f>
        <v>-5</v>
      </c>
      <c r="DF101" s="351" t="str">
        <f>INDEX('技能'!$N$12:$N$71,BF101)</f>
        <v>Yes</v>
      </c>
      <c r="DG101" s="192"/>
      <c r="DH101" s="1197">
        <v>40</v>
      </c>
      <c r="DI101" s="1194">
        <v>55</v>
      </c>
      <c r="DJ101" s="1688"/>
      <c r="DK101" s="1688"/>
    </row>
    <row r="102" spans="1:115" ht="10.5" customHeight="1">
      <c r="A102" s="1247">
        <f>IF(R96=10,"",IF(INDEX('能力'!$AJ$98:$AJ$106,R96)=0,"-",INDEX('能力'!$AJ$98:$AJ$106,R96)))</f>
      </c>
      <c r="B102" s="1247"/>
      <c r="C102" s="1247"/>
      <c r="D102" s="1247"/>
      <c r="E102" s="1247"/>
      <c r="F102" s="1247"/>
      <c r="G102" s="1249">
        <f>IF(R96=10,"",INDEX('能力'!$BE$98:$BE$106,R96))</f>
      </c>
      <c r="H102" s="1249"/>
      <c r="I102" s="1249"/>
      <c r="J102" s="1249"/>
      <c r="K102" s="1249"/>
      <c r="L102" s="1251" t="str">
        <f>IF(R96=10,"",INDEX('能力'!$BU$5:$BU$17,INDEX('能力'!$AX$98:$AX$106,R96)))</f>
        <v>Slashing</v>
      </c>
      <c r="M102" s="1251"/>
      <c r="N102" s="1251"/>
      <c r="O102" s="1251"/>
      <c r="P102" s="1251"/>
      <c r="Q102" s="1251"/>
      <c r="R102" s="1251"/>
      <c r="S102" s="1251"/>
      <c r="T102" s="1251"/>
      <c r="U102" s="1247" t="str">
        <f>IF(R96=10,"",INDEX('能力'!$BQ$5:$BQ$14,INDEX('能力'!$AT$98:$AT$106,R96)))</f>
        <v>Medium</v>
      </c>
      <c r="V102" s="1247"/>
      <c r="W102" s="1247"/>
      <c r="X102" s="1247"/>
      <c r="Y102" s="1247"/>
      <c r="Z102" s="1247"/>
      <c r="AA102" s="1245">
        <f>IF(R96=10,"",IF(OR(T96="",T96=0),IF(U96="","",U96),IF(U96="",T96,CONCATENATE(T96,"、",U96))))</f>
      </c>
      <c r="AB102" s="1245"/>
      <c r="AC102" s="1245"/>
      <c r="AD102" s="1245"/>
      <c r="AE102" s="1245"/>
      <c r="AF102" s="1245"/>
      <c r="AG102" s="1245"/>
      <c r="AH102" s="1245"/>
      <c r="AI102" s="1245"/>
      <c r="AJ102" s="1245"/>
      <c r="AK102" s="1245"/>
      <c r="AL102" s="1245"/>
      <c r="AM102" s="1245"/>
      <c r="AN102" s="1245"/>
      <c r="AO102" s="1245"/>
      <c r="AP102" s="1245"/>
      <c r="AQ102" s="1245"/>
      <c r="AR102" s="1245"/>
      <c r="AS102" s="1245"/>
      <c r="AT102" s="1245"/>
      <c r="AU102" s="1245"/>
      <c r="AV102" s="1245"/>
      <c r="AW102" s="1245"/>
      <c r="AX102" s="1245"/>
      <c r="AY102" s="1245"/>
      <c r="AZ102" s="1245"/>
      <c r="BA102" s="1245"/>
      <c r="BB102" s="1245"/>
      <c r="BC102" s="1245"/>
      <c r="BD102" s="1245"/>
      <c r="BE102" s="186"/>
      <c r="BF102" s="1468"/>
      <c r="BG102" s="1229"/>
      <c r="BH102" s="1229"/>
      <c r="BI102" s="1229"/>
      <c r="BJ102" s="1229"/>
      <c r="BK102" s="1229"/>
      <c r="BL102" s="1229"/>
      <c r="BM102" s="1229"/>
      <c r="BN102" s="1229"/>
      <c r="BO102" s="1229"/>
      <c r="BP102" s="1229"/>
      <c r="BQ102" s="1229"/>
      <c r="BR102" s="1229"/>
      <c r="BS102" s="1229"/>
      <c r="BT102" s="1229"/>
      <c r="BU102" s="1229"/>
      <c r="BV102" s="1229"/>
      <c r="BW102" s="1229"/>
      <c r="BX102" s="1229"/>
      <c r="BY102" s="1229"/>
      <c r="BZ102" s="1231"/>
      <c r="CA102" s="1231"/>
      <c r="CB102" s="1231"/>
      <c r="CC102" s="431"/>
      <c r="CD102" s="1203"/>
      <c r="CE102" s="1203"/>
      <c r="CF102" s="1203"/>
      <c r="CG102" s="1203"/>
      <c r="CH102" s="1204"/>
      <c r="CI102" s="1201"/>
      <c r="CJ102" s="1201"/>
      <c r="CK102" s="1201"/>
      <c r="CL102" s="1204"/>
      <c r="CM102" s="1219"/>
      <c r="CN102" s="1219"/>
      <c r="CO102" s="1219"/>
      <c r="CP102" s="1204"/>
      <c r="CQ102" s="1222"/>
      <c r="CR102" s="1222"/>
      <c r="CS102" s="1222"/>
      <c r="CT102" s="1222"/>
      <c r="CU102" s="1222"/>
      <c r="CV102" s="1222"/>
      <c r="CW102" s="1222"/>
      <c r="CX102" s="186" t="str">
        <f>CONCATENATE(IF(CX101&lt;&gt;0,CONCATENATE(IF(CX101&gt;0,"+",""),CX101,"Env."),""),IF(CY101&lt;&gt;0,CONCATENATE(IF(CY101&gt;0,"+",""),CY101,"Misc"),""),IF(CZ101&lt;&gt;0,CONCATENATE(IF(CZ101&gt;0,"+",""),CZ101,"Size"),""),IF(DA101&lt;&gt;0,CONCATENATE(IF(DA101&gt;0,"+",""),DA101,"Race"),""),IF(DB101&lt;&gt;0,CONCATENATE(IF(DB101&gt;0,"+",""),DB101,"Cmp."),""),IF(DC101&lt;&gt;0,CONCATENATE(IF(DC101&gt;0,"+",""),DC101),""),IF(DE101="-","",IF(DE101=0,"",CONCATENATE(DE101,"ACP"))))</f>
        <v>-5ACP</v>
      </c>
      <c r="CY102" s="186"/>
      <c r="CZ102" s="186"/>
      <c r="DA102" s="186"/>
      <c r="DB102" s="186"/>
      <c r="DG102" s="192"/>
      <c r="DH102" s="1197"/>
      <c r="DI102" s="1194"/>
      <c r="DJ102" s="1688"/>
      <c r="DK102" s="1688"/>
    </row>
    <row r="103" spans="1:115" ht="10.5" customHeight="1" thickBot="1">
      <c r="A103" s="1248"/>
      <c r="B103" s="1248"/>
      <c r="C103" s="1248"/>
      <c r="D103" s="1248"/>
      <c r="E103" s="1248"/>
      <c r="F103" s="1248"/>
      <c r="G103" s="1250"/>
      <c r="H103" s="1250"/>
      <c r="I103" s="1250"/>
      <c r="J103" s="1250"/>
      <c r="K103" s="1250"/>
      <c r="L103" s="1252"/>
      <c r="M103" s="1252"/>
      <c r="N103" s="1252"/>
      <c r="O103" s="1252"/>
      <c r="P103" s="1252"/>
      <c r="Q103" s="1252"/>
      <c r="R103" s="1252"/>
      <c r="S103" s="1252"/>
      <c r="T103" s="1252"/>
      <c r="U103" s="1248"/>
      <c r="V103" s="1248"/>
      <c r="W103" s="1248"/>
      <c r="X103" s="1248"/>
      <c r="Y103" s="1248"/>
      <c r="Z103" s="1248"/>
      <c r="AA103" s="1246"/>
      <c r="AB103" s="1246"/>
      <c r="AC103" s="1246"/>
      <c r="AD103" s="1246"/>
      <c r="AE103" s="1246"/>
      <c r="AF103" s="1246"/>
      <c r="AG103" s="1246"/>
      <c r="AH103" s="1246"/>
      <c r="AI103" s="1246"/>
      <c r="AJ103" s="1246"/>
      <c r="AK103" s="1246"/>
      <c r="AL103" s="1246"/>
      <c r="AM103" s="1246"/>
      <c r="AN103" s="1246"/>
      <c r="AO103" s="1246"/>
      <c r="AP103" s="1246"/>
      <c r="AQ103" s="1246"/>
      <c r="AR103" s="1246"/>
      <c r="AS103" s="1246"/>
      <c r="AT103" s="1246"/>
      <c r="AU103" s="1246"/>
      <c r="AV103" s="1246"/>
      <c r="AW103" s="1246"/>
      <c r="AX103" s="1246"/>
      <c r="AY103" s="1246"/>
      <c r="AZ103" s="1246"/>
      <c r="BA103" s="1246"/>
      <c r="BB103" s="1246"/>
      <c r="BC103" s="1246"/>
      <c r="BD103" s="1246"/>
      <c r="BE103" s="186"/>
      <c r="BF103" s="1468">
        <f ca="1">INDIRECT(ADDRESS(ROW(BF103),111+$BF$28))</f>
        <v>41</v>
      </c>
      <c r="BG103" s="1228" t="str">
        <f>IF(BF103=60,"",INDEX('技能'!$B$12:$B$70,BF103))</f>
        <v>Use Magic Device</v>
      </c>
      <c r="BH103" s="1228"/>
      <c r="BI103" s="1228"/>
      <c r="BJ103" s="1228"/>
      <c r="BK103" s="1228"/>
      <c r="BL103" s="1228"/>
      <c r="BM103" s="1228"/>
      <c r="BN103" s="1228"/>
      <c r="BO103" s="1228"/>
      <c r="BP103" s="1228"/>
      <c r="BQ103" s="1228"/>
      <c r="BR103" s="1228"/>
      <c r="BS103" s="1228"/>
      <c r="BT103" s="1228"/>
      <c r="BU103" s="1228"/>
      <c r="BV103" s="1228"/>
      <c r="BW103" s="1228"/>
      <c r="BX103" s="1228"/>
      <c r="BY103" s="1228"/>
      <c r="BZ103" s="1230" t="str">
        <f>IF(BF103=60,"",INDEX('技能'!$D$12:$D$70,BF103))</f>
        <v>CHA</v>
      </c>
      <c r="CA103" s="1230"/>
      <c r="CB103" s="1230"/>
      <c r="CC103" s="431">
        <f>IF(BF103=60,"",IF(INDEX('技能'!$P$12:$P$70,BF103)=0,"*",""))</f>
      </c>
      <c r="CD103" s="1202" t="str">
        <f>IF(BF103=60,"",IF(BZ103="なし","-",INDEX('技能'!$E$12:$E$70,BF103)))</f>
        <v>-</v>
      </c>
      <c r="CE103" s="1202"/>
      <c r="CF103" s="1202"/>
      <c r="CG103" s="1202"/>
      <c r="CH103" s="1204" t="s">
        <v>213</v>
      </c>
      <c r="CI103" s="1227">
        <f>IF(BF103=60,"",IF(BZ103="なし","-",INDEX('技能'!$F$12:$F$70,BF103)))</f>
        <v>0</v>
      </c>
      <c r="CJ103" s="1227"/>
      <c r="CK103" s="1227"/>
      <c r="CL103" s="1204" t="s">
        <v>214</v>
      </c>
      <c r="CM103" s="1218">
        <f>IF(BF103=60,"",IF(INDEX('技能'!$G$12:$G$70,BF103)&lt;&gt;0,INDEX('技能'!$O$12:$O$70,BF103)&amp;"#",INDEX('技能'!$O$12:$O$70,BF103)))</f>
        <v>0</v>
      </c>
      <c r="CN103" s="1218"/>
      <c r="CO103" s="1218"/>
      <c r="CP103" s="1204"/>
      <c r="CQ103" s="1220">
        <f>IF(BF103=60,"",IF(LEN(CX104)&lt;=14,CX104,CONCATENATE(IF(SUM(CX103:DD103)&gt;=0,"+",""),SUM(CX103:DD103),"(Total)")))</f>
      </c>
      <c r="CR103" s="1221"/>
      <c r="CS103" s="1221"/>
      <c r="CT103" s="1221"/>
      <c r="CU103" s="1221"/>
      <c r="CV103" s="1221"/>
      <c r="CW103" s="1221"/>
      <c r="CX103" s="186">
        <f>INDEX('技能'!$J$12:$J$71,' 印刷'!BF103)</f>
        <v>0</v>
      </c>
      <c r="CY103" s="186">
        <f>INDEX('技能'!$K$12:$K$71,BF103)</f>
        <v>0</v>
      </c>
      <c r="CZ103" s="186">
        <f>INDEX('技能'!$L$12:$L$71,BF103)</f>
        <v>0</v>
      </c>
      <c r="DA103" s="186">
        <f>INDEX('技能'!$M$12:$M$71,BF103)</f>
        <v>0</v>
      </c>
      <c r="DB103" s="186">
        <f>INDEX('技能'!$I$12:$I$71,BF103)</f>
        <v>0</v>
      </c>
      <c r="DC103" s="186">
        <f>INDEX('技能'!$H$12:$H$71,BF103)</f>
        <v>0</v>
      </c>
      <c r="DD103" s="186">
        <f>INDEX('技能'!$G$12:$G$71,BF103)</f>
        <v>0</v>
      </c>
      <c r="DE103" s="186" t="str">
        <f>INDEX('技能'!$P$12:$P$71,BF103)</f>
        <v>-</v>
      </c>
      <c r="DF103" s="351" t="str">
        <f>INDEX('技能'!$N$12:$N$71,BF103)</f>
        <v>No</v>
      </c>
      <c r="DG103" s="192"/>
      <c r="DH103" s="1197">
        <v>41</v>
      </c>
      <c r="DI103" s="1194">
        <v>56</v>
      </c>
      <c r="DJ103" s="1688"/>
      <c r="DK103" s="1688"/>
    </row>
    <row r="104" spans="1:115" ht="10.5" customHeight="1">
      <c r="A104" s="1259" t="s">
        <v>706</v>
      </c>
      <c r="B104" s="1259"/>
      <c r="C104" s="1259"/>
      <c r="D104" s="1170"/>
      <c r="E104" s="1170"/>
      <c r="F104" s="1170"/>
      <c r="G104" s="1170"/>
      <c r="H104" s="1170"/>
      <c r="I104" s="1170"/>
      <c r="J104" s="1170"/>
      <c r="K104" s="1170"/>
      <c r="L104" s="1170"/>
      <c r="M104" s="1170"/>
      <c r="N104" s="1170"/>
      <c r="O104" s="1170"/>
      <c r="P104" s="1170"/>
      <c r="Q104" s="1170"/>
      <c r="R104" s="1243" t="s">
        <v>705</v>
      </c>
      <c r="S104" s="1244"/>
      <c r="T104" s="1244"/>
      <c r="U104" s="1244"/>
      <c r="V104" s="1244"/>
      <c r="W104" s="1244"/>
      <c r="X104" s="1244"/>
      <c r="Y104" s="1244"/>
      <c r="Z104" s="1244"/>
      <c r="AA104" s="1244"/>
      <c r="AB104" s="1244"/>
      <c r="AC104" s="1244"/>
      <c r="AD104" s="1244"/>
      <c r="AE104" s="1244"/>
      <c r="AF104" s="1244"/>
      <c r="AG104" s="1244"/>
      <c r="AH104" s="1244"/>
      <c r="AI104" s="1244"/>
      <c r="AJ104" s="1244"/>
      <c r="AK104" s="1244"/>
      <c r="AL104" s="1244"/>
      <c r="AM104" s="1244"/>
      <c r="AN104" s="1244"/>
      <c r="AO104" s="1244"/>
      <c r="AP104" s="1244"/>
      <c r="AQ104" s="1244"/>
      <c r="AR104" s="1244"/>
      <c r="AS104" s="1244"/>
      <c r="AT104" s="1244"/>
      <c r="AU104" s="1244"/>
      <c r="AV104" s="1244"/>
      <c r="AW104" s="1244"/>
      <c r="AX104" s="1244"/>
      <c r="AY104" s="1244"/>
      <c r="AZ104" s="1244"/>
      <c r="BA104" s="1244"/>
      <c r="BB104" s="1244"/>
      <c r="BC104" s="1244"/>
      <c r="BD104" s="1244"/>
      <c r="BE104" s="186"/>
      <c r="BF104" s="1468"/>
      <c r="BG104" s="1229"/>
      <c r="BH104" s="1229"/>
      <c r="BI104" s="1229"/>
      <c r="BJ104" s="1229"/>
      <c r="BK104" s="1229"/>
      <c r="BL104" s="1229"/>
      <c r="BM104" s="1229"/>
      <c r="BN104" s="1229"/>
      <c r="BO104" s="1229"/>
      <c r="BP104" s="1229"/>
      <c r="BQ104" s="1229"/>
      <c r="BR104" s="1229"/>
      <c r="BS104" s="1229"/>
      <c r="BT104" s="1229"/>
      <c r="BU104" s="1229"/>
      <c r="BV104" s="1229"/>
      <c r="BW104" s="1229"/>
      <c r="BX104" s="1229"/>
      <c r="BY104" s="1229"/>
      <c r="BZ104" s="1231"/>
      <c r="CA104" s="1231"/>
      <c r="CB104" s="1231"/>
      <c r="CC104" s="431"/>
      <c r="CD104" s="1203"/>
      <c r="CE104" s="1203"/>
      <c r="CF104" s="1203"/>
      <c r="CG104" s="1203"/>
      <c r="CH104" s="1204"/>
      <c r="CI104" s="1201"/>
      <c r="CJ104" s="1201"/>
      <c r="CK104" s="1201"/>
      <c r="CL104" s="1204"/>
      <c r="CM104" s="1219"/>
      <c r="CN104" s="1219"/>
      <c r="CO104" s="1219"/>
      <c r="CP104" s="1204"/>
      <c r="CQ104" s="1222"/>
      <c r="CR104" s="1222"/>
      <c r="CS104" s="1222"/>
      <c r="CT104" s="1222"/>
      <c r="CU104" s="1222"/>
      <c r="CV104" s="1222"/>
      <c r="CW104" s="1222"/>
      <c r="CX104" s="186">
        <f>CONCATENATE(IF(CX103&lt;&gt;0,CONCATENATE(IF(CX103&gt;0,"+",""),CX103,"Env."),""),IF(CY103&lt;&gt;0,CONCATENATE(IF(CY103&gt;0,"+",""),CY103,"Misc"),""),IF(CZ103&lt;&gt;0,CONCATENATE(IF(CZ103&gt;0,"+",""),CZ103,"Size"),""),IF(DA103&lt;&gt;0,CONCATENATE(IF(DA103&gt;0,"+",""),DA103,"Race"),""),IF(DB103&lt;&gt;0,CONCATENATE(IF(DB103&gt;0,"+",""),DB103,"Cmp."),""),IF(DC103&lt;&gt;0,CONCATENATE(IF(DC103&gt;0,"+",""),DC103),""),IF(DE103="-","",IF(DE103=0,"",CONCATENATE(DE103,"ACP"))))</f>
      </c>
      <c r="CY104" s="186"/>
      <c r="CZ104" s="186"/>
      <c r="DA104" s="186"/>
      <c r="DB104" s="186"/>
      <c r="DG104" s="192"/>
      <c r="DH104" s="1197"/>
      <c r="DI104" s="1194"/>
      <c r="DJ104" s="1688"/>
      <c r="DK104" s="1688"/>
    </row>
    <row r="105" spans="1:115" ht="10.5" customHeight="1" thickBot="1">
      <c r="A105" s="431"/>
      <c r="B105" s="431"/>
      <c r="C105" s="431"/>
      <c r="D105" s="431"/>
      <c r="E105" s="431"/>
      <c r="F105" s="431"/>
      <c r="G105" s="431"/>
      <c r="H105" s="431"/>
      <c r="I105" s="431"/>
      <c r="J105" s="431"/>
      <c r="K105" s="431"/>
      <c r="L105" s="431"/>
      <c r="M105" s="431"/>
      <c r="N105" s="431"/>
      <c r="O105" s="431"/>
      <c r="P105" s="431"/>
      <c r="Q105" s="431"/>
      <c r="R105" s="1243" t="s">
        <v>705</v>
      </c>
      <c r="S105" s="1244"/>
      <c r="T105" s="1244"/>
      <c r="U105" s="1244"/>
      <c r="V105" s="1244"/>
      <c r="W105" s="1244"/>
      <c r="X105" s="1244"/>
      <c r="Y105" s="1244"/>
      <c r="Z105" s="1244"/>
      <c r="AA105" s="1244"/>
      <c r="AB105" s="1244"/>
      <c r="AC105" s="1244"/>
      <c r="AD105" s="1244"/>
      <c r="AE105" s="1244"/>
      <c r="AF105" s="1244"/>
      <c r="AG105" s="1244"/>
      <c r="AH105" s="1244"/>
      <c r="AI105" s="1244"/>
      <c r="AJ105" s="1244"/>
      <c r="AK105" s="1244"/>
      <c r="AL105" s="1244"/>
      <c r="AM105" s="1244"/>
      <c r="AN105" s="1244"/>
      <c r="AO105" s="1244"/>
      <c r="AP105" s="1244"/>
      <c r="AQ105" s="1244"/>
      <c r="AR105" s="1244"/>
      <c r="AS105" s="1244"/>
      <c r="AT105" s="1244"/>
      <c r="AU105" s="1244"/>
      <c r="AV105" s="1244"/>
      <c r="AW105" s="1244"/>
      <c r="AX105" s="1244"/>
      <c r="AY105" s="1244"/>
      <c r="AZ105" s="1244"/>
      <c r="BA105" s="1244"/>
      <c r="BB105" s="1244"/>
      <c r="BC105" s="1244"/>
      <c r="BD105" s="1244"/>
      <c r="BE105" s="186"/>
      <c r="BF105" s="1468">
        <f ca="1">INDIRECT(ADDRESS(ROW(BF105),111+$BF$28))</f>
        <v>60</v>
      </c>
      <c r="BG105" s="1228">
        <f>IF(BF105=60,"",INDEX('技能'!$B$12:$B$70,BF105))</f>
      </c>
      <c r="BH105" s="1228"/>
      <c r="BI105" s="1228"/>
      <c r="BJ105" s="1228"/>
      <c r="BK105" s="1228"/>
      <c r="BL105" s="1228"/>
      <c r="BM105" s="1228"/>
      <c r="BN105" s="1228"/>
      <c r="BO105" s="1228"/>
      <c r="BP105" s="1228"/>
      <c r="BQ105" s="1228"/>
      <c r="BR105" s="1228"/>
      <c r="BS105" s="1228"/>
      <c r="BT105" s="1228"/>
      <c r="BU105" s="1228"/>
      <c r="BV105" s="1228"/>
      <c r="BW105" s="1228"/>
      <c r="BX105" s="1228"/>
      <c r="BY105" s="1228"/>
      <c r="BZ105" s="1230">
        <f>IF(BF105=60,"",INDEX('技能'!$D$12:$D$70,BF105))</f>
      </c>
      <c r="CA105" s="1230"/>
      <c r="CB105" s="1230"/>
      <c r="CC105" s="431">
        <f>IF(BF105=60,"",IF(INDEX('技能'!$P$12:$P$70,BF105)=0,"*",""))</f>
      </c>
      <c r="CD105" s="1202">
        <f>IF(BF105=60,"",IF(BZ105="なし","-",INDEX('技能'!$E$12:$E$70,BF105)))</f>
      </c>
      <c r="CE105" s="1202"/>
      <c r="CF105" s="1202"/>
      <c r="CG105" s="1202"/>
      <c r="CH105" s="1204" t="s">
        <v>213</v>
      </c>
      <c r="CI105" s="1227">
        <f>IF(BF105=60,"",IF(BZ105="なし","-",INDEX('技能'!$F$12:$F$70,BF105)))</f>
      </c>
      <c r="CJ105" s="1227"/>
      <c r="CK105" s="1227"/>
      <c r="CL105" s="1204" t="s">
        <v>214</v>
      </c>
      <c r="CM105" s="1218">
        <f>IF(BF105=60,"",IF(INDEX('技能'!$G$12:$G$70,BF105)&lt;&gt;0,INDEX('技能'!$O$12:$O$70,BF105)&amp;"#",INDEX('技能'!$O$12:$O$70,BF105)))</f>
      </c>
      <c r="CN105" s="1218"/>
      <c r="CO105" s="1218"/>
      <c r="CP105" s="1204"/>
      <c r="CQ105" s="1220">
        <f>IF(BF105=60,"",IF(LEN(CX106)&lt;=14,CX106,CONCATENATE(IF(SUM(CX105:DD105)&gt;=0,"+",""),SUM(CX105:DD105),"(Total)")))</f>
      </c>
      <c r="CR105" s="1221"/>
      <c r="CS105" s="1221"/>
      <c r="CT105" s="1221"/>
      <c r="CU105" s="1221"/>
      <c r="CV105" s="1221"/>
      <c r="CW105" s="1221"/>
      <c r="CX105" s="186">
        <f>INDEX('技能'!$J$12:$J$71,' 印刷'!BF105)</f>
        <v>0</v>
      </c>
      <c r="CY105" s="186">
        <f>INDEX('技能'!$K$12:$K$71,BF105)</f>
        <v>0</v>
      </c>
      <c r="CZ105" s="186">
        <f>INDEX('技能'!$L$12:$L$71,BF105)</f>
        <v>0</v>
      </c>
      <c r="DA105" s="186">
        <f>INDEX('技能'!$M$12:$M$71,BF105)</f>
        <v>0</v>
      </c>
      <c r="DB105" s="186">
        <f>INDEX('技能'!$I$12:$I$71,BF105)</f>
        <v>0</v>
      </c>
      <c r="DC105" s="186">
        <f>INDEX('技能'!$H$12:$H$71,BF105)</f>
        <v>0</v>
      </c>
      <c r="DD105" s="186">
        <f>INDEX('技能'!$G$12:$G$71,BF105)</f>
        <v>0</v>
      </c>
      <c r="DE105" s="186">
        <f>INDEX('技能'!$P$12:$P$71,BF105)</f>
        <v>0</v>
      </c>
      <c r="DF105" s="351">
        <f>INDEX('技能'!$N$12:$N$71,BF105)</f>
        <v>0</v>
      </c>
      <c r="DG105" s="192"/>
      <c r="DH105" s="1197">
        <v>60</v>
      </c>
      <c r="DI105" s="1194">
        <v>7</v>
      </c>
      <c r="DJ105" s="1688"/>
      <c r="DK105" s="1688"/>
    </row>
    <row r="106" spans="1:115" ht="10.5" customHeight="1">
      <c r="A106" s="1253" t="s">
        <v>697</v>
      </c>
      <c r="B106" s="1254"/>
      <c r="C106" s="1254"/>
      <c r="D106" s="1254"/>
      <c r="E106" s="1254"/>
      <c r="F106" s="1254"/>
      <c r="G106" s="1254"/>
      <c r="H106" s="1254"/>
      <c r="I106" s="1254"/>
      <c r="J106" s="1254"/>
      <c r="K106" s="1254"/>
      <c r="L106" s="1254"/>
      <c r="M106" s="1254"/>
      <c r="N106" s="1254"/>
      <c r="O106" s="1254"/>
      <c r="P106" s="1254"/>
      <c r="Q106" s="1255"/>
      <c r="R106" s="473">
        <v>10</v>
      </c>
      <c r="S106" s="474">
        <f>INDEX('能力'!$O$98:$O$107,R106)</f>
        <v>0</v>
      </c>
      <c r="T106" s="474">
        <f>INDEX('能力'!$BG$98:$BG$107,R106)</f>
        <v>0</v>
      </c>
      <c r="U106" s="475">
        <f>INDEX('能力'!$AQ$98:$AQ$107,R106)</f>
        <v>0</v>
      </c>
      <c r="V106" s="476"/>
      <c r="W106" s="477"/>
      <c r="X106" s="477"/>
      <c r="Y106" s="477"/>
      <c r="Z106" s="477"/>
      <c r="AA106" s="477"/>
      <c r="AB106" s="477"/>
      <c r="AC106" s="477"/>
      <c r="AD106" s="477"/>
      <c r="AE106" s="477"/>
      <c r="AF106" s="476"/>
      <c r="AG106" s="469"/>
      <c r="AH106" s="469"/>
      <c r="AI106" s="469"/>
      <c r="AJ106" s="469"/>
      <c r="AK106" s="469"/>
      <c r="AL106" s="469"/>
      <c r="AM106" s="469"/>
      <c r="AN106" s="469"/>
      <c r="AO106" s="469"/>
      <c r="AP106" s="469"/>
      <c r="AQ106" s="469"/>
      <c r="AR106" s="469"/>
      <c r="AS106" s="469"/>
      <c r="AT106" s="469"/>
      <c r="AU106" s="469"/>
      <c r="AV106" s="469"/>
      <c r="AW106" s="469"/>
      <c r="AX106" s="469"/>
      <c r="AY106" s="469"/>
      <c r="AZ106" s="469"/>
      <c r="BA106" s="469"/>
      <c r="BB106" s="469"/>
      <c r="BC106" s="469"/>
      <c r="BD106" s="469"/>
      <c r="BE106" s="186"/>
      <c r="BF106" s="1468"/>
      <c r="BG106" s="1229"/>
      <c r="BH106" s="1229"/>
      <c r="BI106" s="1229"/>
      <c r="BJ106" s="1229"/>
      <c r="BK106" s="1229"/>
      <c r="BL106" s="1229"/>
      <c r="BM106" s="1229"/>
      <c r="BN106" s="1229"/>
      <c r="BO106" s="1229"/>
      <c r="BP106" s="1229"/>
      <c r="BQ106" s="1229"/>
      <c r="BR106" s="1229"/>
      <c r="BS106" s="1229"/>
      <c r="BT106" s="1229"/>
      <c r="BU106" s="1229"/>
      <c r="BV106" s="1229"/>
      <c r="BW106" s="1229"/>
      <c r="BX106" s="1229"/>
      <c r="BY106" s="1229"/>
      <c r="BZ106" s="1231"/>
      <c r="CA106" s="1231"/>
      <c r="CB106" s="1231"/>
      <c r="CC106" s="431"/>
      <c r="CD106" s="1203"/>
      <c r="CE106" s="1203"/>
      <c r="CF106" s="1203"/>
      <c r="CG106" s="1203"/>
      <c r="CH106" s="1204"/>
      <c r="CI106" s="1201"/>
      <c r="CJ106" s="1201"/>
      <c r="CK106" s="1201"/>
      <c r="CL106" s="1204"/>
      <c r="CM106" s="1219"/>
      <c r="CN106" s="1219"/>
      <c r="CO106" s="1219"/>
      <c r="CP106" s="1204"/>
      <c r="CQ106" s="1222"/>
      <c r="CR106" s="1222"/>
      <c r="CS106" s="1222"/>
      <c r="CT106" s="1222"/>
      <c r="CU106" s="1222"/>
      <c r="CV106" s="1222"/>
      <c r="CW106" s="1222"/>
      <c r="CX106" s="186">
        <f>CONCATENATE(IF(CX105&lt;&gt;0,CONCATENATE(IF(CX105&gt;0,"+",""),CX105,"Env."),""),IF(CY105&lt;&gt;0,CONCATENATE(IF(CY105&gt;0,"+",""),CY105,"Misc"),""),IF(CZ105&lt;&gt;0,CONCATENATE(IF(CZ105&gt;0,"+",""),CZ105,"Size"),""),IF(DA105&lt;&gt;0,CONCATENATE(IF(DA105&gt;0,"+",""),DA105,"Race"),""),IF(DB105&lt;&gt;0,CONCATENATE(IF(DB105&gt;0,"+",""),DB105,"Cmp."),""),IF(DC105&lt;&gt;0,CONCATENATE(IF(DC105&gt;0,"+",""),DC105),""),IF(DE105="-","",IF(DE105=0,"",CONCATENATE(DE105,"ACP"))))</f>
      </c>
      <c r="CY106" s="186"/>
      <c r="CZ106" s="186"/>
      <c r="DA106" s="186"/>
      <c r="DB106" s="186"/>
      <c r="DG106" s="192"/>
      <c r="DH106" s="1197"/>
      <c r="DI106" s="1194"/>
      <c r="DJ106" s="1688"/>
      <c r="DK106" s="1688"/>
    </row>
    <row r="107" spans="1:115" ht="10.5" customHeight="1" thickBot="1">
      <c r="A107" s="1256"/>
      <c r="B107" s="1257"/>
      <c r="C107" s="1257"/>
      <c r="D107" s="1257"/>
      <c r="E107" s="1257"/>
      <c r="F107" s="1257"/>
      <c r="G107" s="1257"/>
      <c r="H107" s="1257"/>
      <c r="I107" s="1257"/>
      <c r="J107" s="1257"/>
      <c r="K107" s="1257"/>
      <c r="L107" s="1257"/>
      <c r="M107" s="1257"/>
      <c r="N107" s="1257"/>
      <c r="O107" s="1257"/>
      <c r="P107" s="1257"/>
      <c r="Q107" s="1258"/>
      <c r="R107" s="1479" t="s">
        <v>698</v>
      </c>
      <c r="S107" s="1480"/>
      <c r="T107" s="1480"/>
      <c r="U107" s="1480"/>
      <c r="V107" s="1480"/>
      <c r="W107" s="1480"/>
      <c r="X107" s="1480"/>
      <c r="Y107" s="1480"/>
      <c r="Z107" s="1480"/>
      <c r="AA107" s="1480"/>
      <c r="AB107" s="1480"/>
      <c r="AC107" s="1480"/>
      <c r="AD107" s="1480"/>
      <c r="AE107" s="1480"/>
      <c r="AF107" s="1480"/>
      <c r="AG107" s="1480"/>
      <c r="AH107" s="1480"/>
      <c r="AI107" s="1480"/>
      <c r="AJ107" s="1481"/>
      <c r="AK107" s="1260" t="s">
        <v>635</v>
      </c>
      <c r="AL107" s="1261"/>
      <c r="AM107" s="1261"/>
      <c r="AN107" s="1261"/>
      <c r="AO107" s="1261"/>
      <c r="AP107" s="1261"/>
      <c r="AQ107" s="1261"/>
      <c r="AR107" s="1261"/>
      <c r="AS107" s="1261"/>
      <c r="AT107" s="1262"/>
      <c r="AU107" s="1260" t="s">
        <v>636</v>
      </c>
      <c r="AV107" s="1261"/>
      <c r="AW107" s="1261"/>
      <c r="AX107" s="1261"/>
      <c r="AY107" s="1261"/>
      <c r="AZ107" s="1261"/>
      <c r="BA107" s="1261"/>
      <c r="BB107" s="1261"/>
      <c r="BC107" s="1261"/>
      <c r="BD107" s="1262"/>
      <c r="BE107" s="213"/>
      <c r="BF107" s="1468">
        <f ca="1">INDIRECT(ADDRESS(ROW(BF107),111+$BF$28))</f>
        <v>60</v>
      </c>
      <c r="BG107" s="1228">
        <f>IF(BF107=60,"",INDEX('技能'!$B$12:$B$70,BF107))</f>
      </c>
      <c r="BH107" s="1228"/>
      <c r="BI107" s="1228"/>
      <c r="BJ107" s="1228"/>
      <c r="BK107" s="1228"/>
      <c r="BL107" s="1228"/>
      <c r="BM107" s="1228"/>
      <c r="BN107" s="1228"/>
      <c r="BO107" s="1228"/>
      <c r="BP107" s="1228"/>
      <c r="BQ107" s="1228"/>
      <c r="BR107" s="1228"/>
      <c r="BS107" s="1228"/>
      <c r="BT107" s="1228"/>
      <c r="BU107" s="1228"/>
      <c r="BV107" s="1228"/>
      <c r="BW107" s="1228"/>
      <c r="BX107" s="1228"/>
      <c r="BY107" s="1228"/>
      <c r="BZ107" s="1230">
        <f>IF(BF107=60,"",INDEX('技能'!$D$12:$D$70,BF107))</f>
      </c>
      <c r="CA107" s="1230"/>
      <c r="CB107" s="1230"/>
      <c r="CC107" s="431">
        <f>IF(BF107=60,"",IF(INDEX('技能'!$P$12:$P$70,BF107)=0,"*",""))</f>
      </c>
      <c r="CD107" s="1202">
        <f>IF(BF107=60,"",IF(BZ107="なし","-",INDEX('技能'!$E$12:$E$70,BF107)))</f>
      </c>
      <c r="CE107" s="1202"/>
      <c r="CF107" s="1202"/>
      <c r="CG107" s="1202"/>
      <c r="CH107" s="1204" t="s">
        <v>213</v>
      </c>
      <c r="CI107" s="1227">
        <f>IF(BF107=60,"",IF(BZ107="なし","-",INDEX('技能'!$F$12:$F$70,BF107)))</f>
      </c>
      <c r="CJ107" s="1227"/>
      <c r="CK107" s="1227"/>
      <c r="CL107" s="1204" t="s">
        <v>214</v>
      </c>
      <c r="CM107" s="1218">
        <f>IF(BF107=60,"",IF(INDEX('技能'!$G$12:$G$70,BF107)&lt;&gt;0,INDEX('技能'!$O$12:$O$70,BF107)&amp;"#",INDEX('技能'!$O$12:$O$70,BF107)))</f>
      </c>
      <c r="CN107" s="1218"/>
      <c r="CO107" s="1218"/>
      <c r="CP107" s="1204"/>
      <c r="CQ107" s="1220">
        <f>IF(BF107=60,"",IF(LEN(CX108)&lt;=14,CX108,CONCATENATE(IF(SUM(CX107:DD107)&gt;=0,"+",""),SUM(CX107:DD107),"(Total)")))</f>
      </c>
      <c r="CR107" s="1221"/>
      <c r="CS107" s="1221"/>
      <c r="CT107" s="1221"/>
      <c r="CU107" s="1221"/>
      <c r="CV107" s="1221"/>
      <c r="CW107" s="1221"/>
      <c r="CX107" s="186">
        <f>INDEX('技能'!$J$12:$J$71,' 印刷'!BF107)</f>
        <v>0</v>
      </c>
      <c r="CY107" s="186">
        <f>INDEX('技能'!$K$12:$K$71,BF107)</f>
        <v>0</v>
      </c>
      <c r="CZ107" s="186">
        <f>INDEX('技能'!$L$12:$L$71,BF107)</f>
        <v>0</v>
      </c>
      <c r="DA107" s="186">
        <f>INDEX('技能'!$M$12:$M$71,BF107)</f>
        <v>0</v>
      </c>
      <c r="DB107" s="186">
        <f>INDEX('技能'!$I$12:$I$71,BF107)</f>
        <v>0</v>
      </c>
      <c r="DC107" s="186">
        <f>INDEX('技能'!$H$12:$H$71,BF107)</f>
        <v>0</v>
      </c>
      <c r="DD107" s="186">
        <f>INDEX('技能'!$G$12:$G$71,BF107)</f>
        <v>0</v>
      </c>
      <c r="DE107" s="186">
        <f>INDEX('技能'!$P$12:$P$71,BF107)</f>
        <v>0</v>
      </c>
      <c r="DF107" s="351">
        <f>INDEX('技能'!$N$12:$N$71,BF107)</f>
        <v>0</v>
      </c>
      <c r="DH107" s="1197">
        <v>60</v>
      </c>
      <c r="DI107" s="1194">
        <v>15</v>
      </c>
      <c r="DJ107" s="1688"/>
      <c r="DK107" s="1688"/>
    </row>
    <row r="108" spans="1:115" ht="10.5" customHeight="1">
      <c r="A108" s="1579">
        <f>IF(R106=10,"",INDEX('能力'!$G$98:$G$106,R106))</f>
      </c>
      <c r="B108" s="1579"/>
      <c r="C108" s="1579"/>
      <c r="D108" s="1579"/>
      <c r="E108" s="1579"/>
      <c r="F108" s="1579"/>
      <c r="G108" s="1579"/>
      <c r="H108" s="1579"/>
      <c r="I108" s="1579"/>
      <c r="J108" s="1579"/>
      <c r="K108" s="1579"/>
      <c r="L108" s="1579"/>
      <c r="M108" s="1579"/>
      <c r="N108" s="1579"/>
      <c r="O108" s="1579"/>
      <c r="P108" s="1579"/>
      <c r="Q108" s="1579"/>
      <c r="R108" s="1284">
        <f>IF(R106=10,"",IF(S106&gt;0,"+","")&amp;S106&amp;IF($AU$65&gt;=6,"/"&amp;IF(S106-5&gt;=0,"+","")&amp;(S106-5),"")&amp;IF($AU$65&gt;=11,"/"&amp;IF(S106-10&gt;=0,"+","")&amp;(S106-10),"")&amp;IF($AU$65&gt;=16,"/"&amp;IF(S106-15&gt;=0,"+","")&amp;(S106-15),""))</f>
      </c>
      <c r="S108" s="1284"/>
      <c r="T108" s="1284"/>
      <c r="U108" s="1284"/>
      <c r="V108" s="1284"/>
      <c r="W108" s="1284"/>
      <c r="X108" s="1284"/>
      <c r="Y108" s="1284"/>
      <c r="Z108" s="1284"/>
      <c r="AA108" s="1284"/>
      <c r="AB108" s="1284"/>
      <c r="AC108" s="1284"/>
      <c r="AD108" s="1284"/>
      <c r="AE108" s="1284"/>
      <c r="AF108" s="1284"/>
      <c r="AG108" s="1284"/>
      <c r="AH108" s="1284"/>
      <c r="AI108" s="1284"/>
      <c r="AJ108" s="1284"/>
      <c r="AK108" s="1602">
        <f>IF(R106=10,"",CONCATENATE(INDEX('能力'!$AL$98:$AL$106,R106),INDEX('能力'!$AO$98:$AO$106,R106)))</f>
      </c>
      <c r="AL108" s="1602"/>
      <c r="AM108" s="1602"/>
      <c r="AN108" s="1602"/>
      <c r="AO108" s="1602"/>
      <c r="AP108" s="1602"/>
      <c r="AQ108" s="1602"/>
      <c r="AR108" s="1602"/>
      <c r="AS108" s="1602"/>
      <c r="AT108" s="1602"/>
      <c r="AU108" s="1482">
        <f>IF(R106=10,"",CONCATENATE(IF(INDEX('能力'!$BC$98:$BC$106,R106)=20,"",CONCATENATE(INDEX('能力'!$BC$98:$BC$106,R106),"/")),INDEX('能力'!$BA$98:$BA$106,R106)))</f>
      </c>
      <c r="AV108" s="1482"/>
      <c r="AW108" s="1482"/>
      <c r="AX108" s="1482"/>
      <c r="AY108" s="1482"/>
      <c r="AZ108" s="1482"/>
      <c r="BA108" s="1482"/>
      <c r="BB108" s="1482"/>
      <c r="BC108" s="1482"/>
      <c r="BD108" s="1482"/>
      <c r="BE108" s="186"/>
      <c r="BF108" s="1468"/>
      <c r="BG108" s="1229"/>
      <c r="BH108" s="1229"/>
      <c r="BI108" s="1229"/>
      <c r="BJ108" s="1229"/>
      <c r="BK108" s="1229"/>
      <c r="BL108" s="1229"/>
      <c r="BM108" s="1229"/>
      <c r="BN108" s="1229"/>
      <c r="BO108" s="1229"/>
      <c r="BP108" s="1229"/>
      <c r="BQ108" s="1229"/>
      <c r="BR108" s="1229"/>
      <c r="BS108" s="1229"/>
      <c r="BT108" s="1229"/>
      <c r="BU108" s="1229"/>
      <c r="BV108" s="1229"/>
      <c r="BW108" s="1229"/>
      <c r="BX108" s="1229"/>
      <c r="BY108" s="1229"/>
      <c r="BZ108" s="1231"/>
      <c r="CA108" s="1231"/>
      <c r="CB108" s="1231"/>
      <c r="CC108" s="431"/>
      <c r="CD108" s="1203"/>
      <c r="CE108" s="1203"/>
      <c r="CF108" s="1203"/>
      <c r="CG108" s="1203"/>
      <c r="CH108" s="1204"/>
      <c r="CI108" s="1201"/>
      <c r="CJ108" s="1201"/>
      <c r="CK108" s="1201"/>
      <c r="CL108" s="1204"/>
      <c r="CM108" s="1219"/>
      <c r="CN108" s="1219"/>
      <c r="CO108" s="1219"/>
      <c r="CP108" s="1204"/>
      <c r="CQ108" s="1222"/>
      <c r="CR108" s="1222"/>
      <c r="CS108" s="1222"/>
      <c r="CT108" s="1222"/>
      <c r="CU108" s="1222"/>
      <c r="CV108" s="1222"/>
      <c r="CW108" s="1222"/>
      <c r="CX108" s="186">
        <f>CONCATENATE(IF(CX107&lt;&gt;0,CONCATENATE(IF(CX107&gt;0,"+",""),CX107,"Env."),""),IF(CY107&lt;&gt;0,CONCATENATE(IF(CY107&gt;0,"+",""),CY107,"Misc"),""),IF(CZ107&lt;&gt;0,CONCATENATE(IF(CZ107&gt;0,"+",""),CZ107,"Size"),""),IF(DA107&lt;&gt;0,CONCATENATE(IF(DA107&gt;0,"+",""),DA107,"Race"),""),IF(DB107&lt;&gt;0,CONCATENATE(IF(DB107&gt;0,"+",""),DB107,"Cmp."),""),IF(DC107&lt;&gt;0,CONCATENATE(IF(DC107&gt;0,"+",""),DC107),""),IF(DE107="-","",IF(DE107=0,"",CONCATENATE(DE107,"ACP"))))</f>
      </c>
      <c r="CY108" s="186"/>
      <c r="CZ108" s="186"/>
      <c r="DA108" s="186"/>
      <c r="DB108" s="186"/>
      <c r="DH108" s="1197"/>
      <c r="DI108" s="1194"/>
      <c r="DJ108" s="1688"/>
      <c r="DK108" s="1688"/>
    </row>
    <row r="109" spans="1:115" ht="10.5" customHeight="1">
      <c r="A109" s="1580"/>
      <c r="B109" s="1580"/>
      <c r="C109" s="1580"/>
      <c r="D109" s="1580"/>
      <c r="E109" s="1580"/>
      <c r="F109" s="1580"/>
      <c r="G109" s="1580"/>
      <c r="H109" s="1580"/>
      <c r="I109" s="1580"/>
      <c r="J109" s="1580"/>
      <c r="K109" s="1580"/>
      <c r="L109" s="1580"/>
      <c r="M109" s="1580"/>
      <c r="N109" s="1580"/>
      <c r="O109" s="1580"/>
      <c r="P109" s="1580"/>
      <c r="Q109" s="1580"/>
      <c r="R109" s="1285"/>
      <c r="S109" s="1285"/>
      <c r="T109" s="1285"/>
      <c r="U109" s="1285"/>
      <c r="V109" s="1285"/>
      <c r="W109" s="1285"/>
      <c r="X109" s="1285"/>
      <c r="Y109" s="1285"/>
      <c r="Z109" s="1285"/>
      <c r="AA109" s="1285"/>
      <c r="AB109" s="1285"/>
      <c r="AC109" s="1285"/>
      <c r="AD109" s="1285"/>
      <c r="AE109" s="1285"/>
      <c r="AF109" s="1285"/>
      <c r="AG109" s="1285"/>
      <c r="AH109" s="1285"/>
      <c r="AI109" s="1285"/>
      <c r="AJ109" s="1285"/>
      <c r="AK109" s="1603"/>
      <c r="AL109" s="1603"/>
      <c r="AM109" s="1603"/>
      <c r="AN109" s="1603"/>
      <c r="AO109" s="1603"/>
      <c r="AP109" s="1603"/>
      <c r="AQ109" s="1603"/>
      <c r="AR109" s="1603"/>
      <c r="AS109" s="1603"/>
      <c r="AT109" s="1603"/>
      <c r="AU109" s="1483"/>
      <c r="AV109" s="1483"/>
      <c r="AW109" s="1483"/>
      <c r="AX109" s="1483"/>
      <c r="AY109" s="1483"/>
      <c r="AZ109" s="1483"/>
      <c r="BA109" s="1483"/>
      <c r="BB109" s="1483"/>
      <c r="BC109" s="1483"/>
      <c r="BD109" s="1483"/>
      <c r="BE109" s="186"/>
      <c r="BF109" s="1468">
        <f ca="1">INDIRECT(ADDRESS(ROW(BF109),111+$BF$28))</f>
        <v>60</v>
      </c>
      <c r="BG109" s="1228">
        <f>IF(BF109=60,"",INDEX('技能'!$B$12:$B$70,BF109))</f>
      </c>
      <c r="BH109" s="1228"/>
      <c r="BI109" s="1228"/>
      <c r="BJ109" s="1228"/>
      <c r="BK109" s="1228"/>
      <c r="BL109" s="1228"/>
      <c r="BM109" s="1228"/>
      <c r="BN109" s="1228"/>
      <c r="BO109" s="1228"/>
      <c r="BP109" s="1228"/>
      <c r="BQ109" s="1228"/>
      <c r="BR109" s="1228"/>
      <c r="BS109" s="1228"/>
      <c r="BT109" s="1228"/>
      <c r="BU109" s="1228"/>
      <c r="BV109" s="1228"/>
      <c r="BW109" s="1228"/>
      <c r="BX109" s="1228"/>
      <c r="BY109" s="1228"/>
      <c r="BZ109" s="1230">
        <f>IF(BF109=60,"",INDEX('技能'!$D$12:$D$70,BF109))</f>
      </c>
      <c r="CA109" s="1230"/>
      <c r="CB109" s="1230"/>
      <c r="CC109" s="431">
        <f>IF(BF109=60,"",IF(INDEX('技能'!$P$12:$P$70,BF109)=0,"*",""))</f>
      </c>
      <c r="CD109" s="1202">
        <f>IF(BF109=60,"",IF(BZ109="なし","-",INDEX('技能'!$E$12:$E$70,BF109)))</f>
      </c>
      <c r="CE109" s="1202"/>
      <c r="CF109" s="1202"/>
      <c r="CG109" s="1202"/>
      <c r="CH109" s="1204" t="s">
        <v>213</v>
      </c>
      <c r="CI109" s="1227">
        <f>IF(BF109=60,"",IF(BZ109="なし","-",INDEX('技能'!$F$12:$F$70,BF109)))</f>
      </c>
      <c r="CJ109" s="1227"/>
      <c r="CK109" s="1227"/>
      <c r="CL109" s="1204" t="s">
        <v>214</v>
      </c>
      <c r="CM109" s="1218">
        <f>IF(BF109=60,"",IF(INDEX('技能'!$G$12:$G$70,BF109)&lt;&gt;0,INDEX('技能'!$O$12:$O$70,BF109)&amp;"#",INDEX('技能'!$O$12:$O$70,BF109)))</f>
      </c>
      <c r="CN109" s="1218"/>
      <c r="CO109" s="1218"/>
      <c r="CP109" s="1204"/>
      <c r="CQ109" s="1220">
        <f>IF(BF109=60,"",IF(LEN(CX110)&lt;=14,CX110,CONCATENATE(IF(SUM(CX109:DD109)&gt;=0,"+",""),SUM(CX109:DD109),"(Total)")))</f>
      </c>
      <c r="CR109" s="1221"/>
      <c r="CS109" s="1221"/>
      <c r="CT109" s="1221"/>
      <c r="CU109" s="1221"/>
      <c r="CV109" s="1221"/>
      <c r="CW109" s="1221"/>
      <c r="CX109" s="186">
        <f>INDEX('技能'!$J$12:$J$71,' 印刷'!BF109)</f>
        <v>0</v>
      </c>
      <c r="CY109" s="186">
        <f>INDEX('技能'!$K$12:$K$71,BF109)</f>
        <v>0</v>
      </c>
      <c r="CZ109" s="186">
        <f>INDEX('技能'!$L$12:$L$71,BF109)</f>
        <v>0</v>
      </c>
      <c r="DA109" s="186">
        <f>INDEX('技能'!$M$12:$M$71,BF109)</f>
        <v>0</v>
      </c>
      <c r="DB109" s="186">
        <f>INDEX('技能'!$I$12:$I$71,BF109)</f>
        <v>0</v>
      </c>
      <c r="DC109" s="186">
        <f>INDEX('技能'!$H$12:$H$71,BF109)</f>
        <v>0</v>
      </c>
      <c r="DD109" s="186">
        <f>INDEX('技能'!$G$12:$G$71,BF109)</f>
        <v>0</v>
      </c>
      <c r="DE109" s="186">
        <f>INDEX('技能'!$P$12:$P$71,BF109)</f>
        <v>0</v>
      </c>
      <c r="DF109" s="351">
        <f>INDEX('技能'!$N$12:$N$71,BF109)</f>
        <v>0</v>
      </c>
      <c r="DH109" s="1197">
        <v>60</v>
      </c>
      <c r="DI109" s="1194">
        <v>17</v>
      </c>
      <c r="DJ109" s="1688"/>
      <c r="DK109" s="1688"/>
    </row>
    <row r="110" spans="1:115" ht="10.5" customHeight="1" thickBot="1">
      <c r="A110" s="1581"/>
      <c r="B110" s="1581"/>
      <c r="C110" s="1581"/>
      <c r="D110" s="1581"/>
      <c r="E110" s="1581"/>
      <c r="F110" s="1581"/>
      <c r="G110" s="1581"/>
      <c r="H110" s="1581"/>
      <c r="I110" s="1581"/>
      <c r="J110" s="1581"/>
      <c r="K110" s="1581"/>
      <c r="L110" s="1581"/>
      <c r="M110" s="1581"/>
      <c r="N110" s="1581"/>
      <c r="O110" s="1581"/>
      <c r="P110" s="1581"/>
      <c r="Q110" s="1581"/>
      <c r="R110" s="1286"/>
      <c r="S110" s="1286"/>
      <c r="T110" s="1286"/>
      <c r="U110" s="1286"/>
      <c r="V110" s="1286"/>
      <c r="W110" s="1286"/>
      <c r="X110" s="1286"/>
      <c r="Y110" s="1286"/>
      <c r="Z110" s="1286"/>
      <c r="AA110" s="1286"/>
      <c r="AB110" s="1286"/>
      <c r="AC110" s="1286"/>
      <c r="AD110" s="1286"/>
      <c r="AE110" s="1286"/>
      <c r="AF110" s="1286"/>
      <c r="AG110" s="1286"/>
      <c r="AH110" s="1286"/>
      <c r="AI110" s="1286"/>
      <c r="AJ110" s="1286"/>
      <c r="AK110" s="1604"/>
      <c r="AL110" s="1604"/>
      <c r="AM110" s="1604"/>
      <c r="AN110" s="1604"/>
      <c r="AO110" s="1604"/>
      <c r="AP110" s="1604"/>
      <c r="AQ110" s="1604"/>
      <c r="AR110" s="1604"/>
      <c r="AS110" s="1604"/>
      <c r="AT110" s="1604"/>
      <c r="AU110" s="1484"/>
      <c r="AV110" s="1484"/>
      <c r="AW110" s="1484"/>
      <c r="AX110" s="1484"/>
      <c r="AY110" s="1484"/>
      <c r="AZ110" s="1484"/>
      <c r="BA110" s="1484"/>
      <c r="BB110" s="1484"/>
      <c r="BC110" s="1484"/>
      <c r="BD110" s="1484"/>
      <c r="BE110" s="186"/>
      <c r="BF110" s="1468"/>
      <c r="BG110" s="1229"/>
      <c r="BH110" s="1229"/>
      <c r="BI110" s="1229"/>
      <c r="BJ110" s="1229"/>
      <c r="BK110" s="1229"/>
      <c r="BL110" s="1229"/>
      <c r="BM110" s="1229"/>
      <c r="BN110" s="1229"/>
      <c r="BO110" s="1229"/>
      <c r="BP110" s="1229"/>
      <c r="BQ110" s="1229"/>
      <c r="BR110" s="1229"/>
      <c r="BS110" s="1229"/>
      <c r="BT110" s="1229"/>
      <c r="BU110" s="1229"/>
      <c r="BV110" s="1229"/>
      <c r="BW110" s="1229"/>
      <c r="BX110" s="1229"/>
      <c r="BY110" s="1229"/>
      <c r="BZ110" s="1231"/>
      <c r="CA110" s="1231"/>
      <c r="CB110" s="1231"/>
      <c r="CC110" s="431"/>
      <c r="CD110" s="1203"/>
      <c r="CE110" s="1203"/>
      <c r="CF110" s="1203"/>
      <c r="CG110" s="1203"/>
      <c r="CH110" s="1204"/>
      <c r="CI110" s="1201"/>
      <c r="CJ110" s="1201"/>
      <c r="CK110" s="1201"/>
      <c r="CL110" s="1204"/>
      <c r="CM110" s="1219"/>
      <c r="CN110" s="1219"/>
      <c r="CO110" s="1219"/>
      <c r="CP110" s="1204"/>
      <c r="CQ110" s="1222"/>
      <c r="CR110" s="1222"/>
      <c r="CS110" s="1222"/>
      <c r="CT110" s="1222"/>
      <c r="CU110" s="1222"/>
      <c r="CV110" s="1222"/>
      <c r="CW110" s="1222"/>
      <c r="CX110" s="186">
        <f>CONCATENATE(IF(CX109&lt;&gt;0,CONCATENATE(IF(CX109&gt;0,"+",""),CX109,"Env."),""),IF(CY109&lt;&gt;0,CONCATENATE(IF(CY109&gt;0,"+",""),CY109,"Misc"),""),IF(CZ109&lt;&gt;0,CONCATENATE(IF(CZ109&gt;0,"+",""),CZ109,"Size"),""),IF(DA109&lt;&gt;0,CONCATENATE(IF(DA109&gt;0,"+",""),DA109,"Race"),""),IF(DB109&lt;&gt;0,CONCATENATE(IF(DB109&gt;0,"+",""),DB109,"Cmp."),""),IF(DC109&lt;&gt;0,CONCATENATE(IF(DC109&gt;0,"+",""),DC109),""),IF(DE109="-","",IF(DE109=0,"",CONCATENATE(DE109,"ACP"))))</f>
      </c>
      <c r="CY110" s="186"/>
      <c r="CZ110" s="186"/>
      <c r="DA110" s="186"/>
      <c r="DB110" s="186"/>
      <c r="DH110" s="1197"/>
      <c r="DI110" s="1194"/>
      <c r="DJ110" s="1688"/>
      <c r="DK110" s="1688"/>
    </row>
    <row r="111" spans="1:115" ht="10.5" customHeight="1" thickBot="1">
      <c r="A111" s="1281" t="s">
        <v>699</v>
      </c>
      <c r="B111" s="1282"/>
      <c r="C111" s="1282"/>
      <c r="D111" s="1282"/>
      <c r="E111" s="1282"/>
      <c r="F111" s="1283"/>
      <c r="G111" s="1281" t="s">
        <v>700</v>
      </c>
      <c r="H111" s="1282"/>
      <c r="I111" s="1282"/>
      <c r="J111" s="1282"/>
      <c r="K111" s="1283"/>
      <c r="L111" s="1281" t="s">
        <v>701</v>
      </c>
      <c r="M111" s="1282"/>
      <c r="N111" s="1282"/>
      <c r="O111" s="1282"/>
      <c r="P111" s="1282"/>
      <c r="Q111" s="1282"/>
      <c r="R111" s="1282"/>
      <c r="S111" s="1282"/>
      <c r="T111" s="1283"/>
      <c r="U111" s="1281" t="s">
        <v>702</v>
      </c>
      <c r="V111" s="1282"/>
      <c r="W111" s="1282"/>
      <c r="X111" s="1282"/>
      <c r="Y111" s="1282"/>
      <c r="Z111" s="1283"/>
      <c r="AA111" s="1282" t="s">
        <v>703</v>
      </c>
      <c r="AB111" s="1282"/>
      <c r="AC111" s="1282"/>
      <c r="AD111" s="1282"/>
      <c r="AE111" s="1282"/>
      <c r="AF111" s="1282"/>
      <c r="AG111" s="1282"/>
      <c r="AH111" s="1282"/>
      <c r="AI111" s="1282"/>
      <c r="AJ111" s="1282"/>
      <c r="AK111" s="1282"/>
      <c r="AL111" s="1282"/>
      <c r="AM111" s="1282"/>
      <c r="AN111" s="1282"/>
      <c r="AO111" s="1282"/>
      <c r="AP111" s="1282"/>
      <c r="AQ111" s="1282"/>
      <c r="AR111" s="1282"/>
      <c r="AS111" s="1282"/>
      <c r="AT111" s="1282"/>
      <c r="AU111" s="1282"/>
      <c r="AV111" s="1282"/>
      <c r="AW111" s="1282"/>
      <c r="AX111" s="1282"/>
      <c r="AY111" s="1282"/>
      <c r="AZ111" s="1282"/>
      <c r="BA111" s="1282"/>
      <c r="BB111" s="1282"/>
      <c r="BC111" s="1282"/>
      <c r="BD111" s="1282"/>
      <c r="BE111" s="213"/>
      <c r="BF111" s="1468">
        <f ca="1">INDIRECT(ADDRESS(ROW(BF111),111+$BF$28))</f>
        <v>60</v>
      </c>
      <c r="BG111" s="1228">
        <f>IF(BF111=60,"",INDEX('技能'!$B$12:$B$70,BF111))</f>
      </c>
      <c r="BH111" s="1228"/>
      <c r="BI111" s="1228"/>
      <c r="BJ111" s="1228"/>
      <c r="BK111" s="1228"/>
      <c r="BL111" s="1228"/>
      <c r="BM111" s="1228"/>
      <c r="BN111" s="1228"/>
      <c r="BO111" s="1228"/>
      <c r="BP111" s="1228"/>
      <c r="BQ111" s="1228"/>
      <c r="BR111" s="1228"/>
      <c r="BS111" s="1228"/>
      <c r="BT111" s="1228"/>
      <c r="BU111" s="1228"/>
      <c r="BV111" s="1228"/>
      <c r="BW111" s="1228"/>
      <c r="BX111" s="1228"/>
      <c r="BY111" s="1228"/>
      <c r="BZ111" s="1230">
        <f>IF(BF111=60,"",INDEX('技能'!$D$12:$D$70,BF111))</f>
      </c>
      <c r="CA111" s="1230"/>
      <c r="CB111" s="1230"/>
      <c r="CC111" s="431">
        <f>IF(BF111=60,"",IF(INDEX('技能'!$P$12:$P$70,BF111)=0,"*",""))</f>
      </c>
      <c r="CD111" s="1202">
        <f>IF(BF111=60,"",IF(BZ111="なし","-",INDEX('技能'!$E$12:$E$70,BF111)))</f>
      </c>
      <c r="CE111" s="1202"/>
      <c r="CF111" s="1202"/>
      <c r="CG111" s="1202"/>
      <c r="CH111" s="1204" t="s">
        <v>213</v>
      </c>
      <c r="CI111" s="1227">
        <f>IF(BF111=60,"",IF(BZ111="なし","-",INDEX('技能'!$F$12:$F$70,BF111)))</f>
      </c>
      <c r="CJ111" s="1227"/>
      <c r="CK111" s="1227"/>
      <c r="CL111" s="1204" t="s">
        <v>214</v>
      </c>
      <c r="CM111" s="1218">
        <f>IF(BF111=60,"",IF(INDEX('技能'!$G$12:$G$70,BF111)&lt;&gt;0,INDEX('技能'!$O$12:$O$70,BF111)&amp;"#",INDEX('技能'!$O$12:$O$70,BF111)))</f>
      </c>
      <c r="CN111" s="1218"/>
      <c r="CO111" s="1218"/>
      <c r="CP111" s="1204"/>
      <c r="CQ111" s="1220">
        <f>IF(BF111=60,"",IF(LEN(CX112)&lt;=14,CX112,CONCATENATE(IF(SUM(CX111:DD111)&gt;=0,"+",""),SUM(CX111:DD111),"(Total)")))</f>
      </c>
      <c r="CR111" s="1221"/>
      <c r="CS111" s="1221"/>
      <c r="CT111" s="1221"/>
      <c r="CU111" s="1221"/>
      <c r="CV111" s="1221"/>
      <c r="CW111" s="1221"/>
      <c r="CX111" s="186">
        <f>INDEX('技能'!$J$12:$J$71,' 印刷'!BF111)</f>
        <v>0</v>
      </c>
      <c r="CY111" s="186">
        <f>INDEX('技能'!$K$12:$K$71,BF111)</f>
        <v>0</v>
      </c>
      <c r="CZ111" s="186">
        <f>INDEX('技能'!$L$12:$L$71,BF111)</f>
        <v>0</v>
      </c>
      <c r="DA111" s="186">
        <f>INDEX('技能'!$M$12:$M$71,BF111)</f>
        <v>0</v>
      </c>
      <c r="DB111" s="186">
        <f>INDEX('技能'!$I$12:$I$71,BF111)</f>
        <v>0</v>
      </c>
      <c r="DC111" s="186">
        <f>INDEX('技能'!$H$12:$H$71,BF111)</f>
        <v>0</v>
      </c>
      <c r="DD111" s="186">
        <f>INDEX('技能'!$G$12:$G$71,BF111)</f>
        <v>0</v>
      </c>
      <c r="DE111" s="186">
        <f>INDEX('技能'!$P$12:$P$71,BF111)</f>
        <v>0</v>
      </c>
      <c r="DF111" s="351">
        <f>INDEX('技能'!$N$12:$N$71,BF111)</f>
        <v>0</v>
      </c>
      <c r="DH111" s="1197">
        <v>60</v>
      </c>
      <c r="DI111" s="1194">
        <v>20</v>
      </c>
      <c r="DJ111" s="1688"/>
      <c r="DK111" s="1688"/>
    </row>
    <row r="112" spans="1:115" ht="10.5" customHeight="1">
      <c r="A112" s="1247">
        <f>IF(R106=10,"",IF(INDEX('能力'!$AJ$98:$AJ$106,R106)=0,"-",INDEX('能力'!$AJ$98:$AJ$106,R106)))</f>
      </c>
      <c r="B112" s="1247"/>
      <c r="C112" s="1247"/>
      <c r="D112" s="1247"/>
      <c r="E112" s="1247"/>
      <c r="F112" s="1247"/>
      <c r="G112" s="1249">
        <f>IF(R106=10,"",INDEX('能力'!$BE$98:$BE$106,R106))</f>
      </c>
      <c r="H112" s="1249"/>
      <c r="I112" s="1249"/>
      <c r="J112" s="1249"/>
      <c r="K112" s="1249"/>
      <c r="L112" s="1251">
        <f>IF(R106=10,"",INDEX('能力'!$BU$5:$BU$17,INDEX('能力'!$AX$98:$AX$106,R106)))</f>
      </c>
      <c r="M112" s="1251"/>
      <c r="N112" s="1251"/>
      <c r="O112" s="1251"/>
      <c r="P112" s="1251"/>
      <c r="Q112" s="1251"/>
      <c r="R112" s="1251"/>
      <c r="S112" s="1251"/>
      <c r="T112" s="1251"/>
      <c r="U112" s="1247">
        <f>IF(R106=10,"",INDEX('能力'!$BQ$5:$BQ$14,INDEX('能力'!$AT$98:$AT$106,R106)))</f>
      </c>
      <c r="V112" s="1247"/>
      <c r="W112" s="1247"/>
      <c r="X112" s="1247"/>
      <c r="Y112" s="1247"/>
      <c r="Z112" s="1247"/>
      <c r="AA112" s="1245">
        <f>IF(R106=10,"",IF(OR(T106="",T106=0),IF(U106="","",U106),IF(U106="",T106,CONCATENATE(T106,"、",U106))))</f>
      </c>
      <c r="AB112" s="1245"/>
      <c r="AC112" s="1245"/>
      <c r="AD112" s="1245"/>
      <c r="AE112" s="1245"/>
      <c r="AF112" s="1245"/>
      <c r="AG112" s="1245"/>
      <c r="AH112" s="1245"/>
      <c r="AI112" s="1245"/>
      <c r="AJ112" s="1245"/>
      <c r="AK112" s="1245"/>
      <c r="AL112" s="1245"/>
      <c r="AM112" s="1245"/>
      <c r="AN112" s="1245"/>
      <c r="AO112" s="1245"/>
      <c r="AP112" s="1245"/>
      <c r="AQ112" s="1245"/>
      <c r="AR112" s="1245"/>
      <c r="AS112" s="1245"/>
      <c r="AT112" s="1245"/>
      <c r="AU112" s="1245"/>
      <c r="AV112" s="1245"/>
      <c r="AW112" s="1245"/>
      <c r="AX112" s="1245"/>
      <c r="AY112" s="1245"/>
      <c r="AZ112" s="1245"/>
      <c r="BA112" s="1245"/>
      <c r="BB112" s="1245"/>
      <c r="BC112" s="1245"/>
      <c r="BD112" s="1245"/>
      <c r="BE112" s="186"/>
      <c r="BF112" s="1468"/>
      <c r="BG112" s="1229"/>
      <c r="BH112" s="1229"/>
      <c r="BI112" s="1229"/>
      <c r="BJ112" s="1229"/>
      <c r="BK112" s="1229"/>
      <c r="BL112" s="1229"/>
      <c r="BM112" s="1229"/>
      <c r="BN112" s="1229"/>
      <c r="BO112" s="1229"/>
      <c r="BP112" s="1229"/>
      <c r="BQ112" s="1229"/>
      <c r="BR112" s="1229"/>
      <c r="BS112" s="1229"/>
      <c r="BT112" s="1229"/>
      <c r="BU112" s="1229"/>
      <c r="BV112" s="1229"/>
      <c r="BW112" s="1229"/>
      <c r="BX112" s="1229"/>
      <c r="BY112" s="1229"/>
      <c r="BZ112" s="1231"/>
      <c r="CA112" s="1231"/>
      <c r="CB112" s="1231"/>
      <c r="CC112" s="431"/>
      <c r="CD112" s="1203"/>
      <c r="CE112" s="1203"/>
      <c r="CF112" s="1203"/>
      <c r="CG112" s="1203"/>
      <c r="CH112" s="1204"/>
      <c r="CI112" s="1201"/>
      <c r="CJ112" s="1201"/>
      <c r="CK112" s="1201"/>
      <c r="CL112" s="1204"/>
      <c r="CM112" s="1219"/>
      <c r="CN112" s="1219"/>
      <c r="CO112" s="1219"/>
      <c r="CP112" s="1204"/>
      <c r="CQ112" s="1222"/>
      <c r="CR112" s="1222"/>
      <c r="CS112" s="1222"/>
      <c r="CT112" s="1222"/>
      <c r="CU112" s="1222"/>
      <c r="CV112" s="1222"/>
      <c r="CW112" s="1222"/>
      <c r="CX112" s="186">
        <f>CONCATENATE(IF(CX111&lt;&gt;0,CONCATENATE(IF(CX111&gt;0,"+",""),CX111,"Env."),""),IF(CY111&lt;&gt;0,CONCATENATE(IF(CY111&gt;0,"+",""),CY111,"Misc"),""),IF(CZ111&lt;&gt;0,CONCATENATE(IF(CZ111&gt;0,"+",""),CZ111,"Size"),""),IF(DA111&lt;&gt;0,CONCATENATE(IF(DA111&gt;0,"+",""),DA111,"Race"),""),IF(DB111&lt;&gt;0,CONCATENATE(IF(DB111&gt;0,"+",""),DB111,"Cmp."),""),IF(DC111&lt;&gt;0,CONCATENATE(IF(DC111&gt;0,"+",""),DC111),""),IF(DE111="-","",IF(DE111=0,"",CONCATENATE(DE111,"ACP"))))</f>
      </c>
      <c r="CY112" s="186"/>
      <c r="CZ112" s="186"/>
      <c r="DA112" s="186"/>
      <c r="DB112" s="186"/>
      <c r="DH112" s="1197"/>
      <c r="DI112" s="1194"/>
      <c r="DJ112" s="1688"/>
      <c r="DK112" s="1688"/>
    </row>
    <row r="113" spans="1:115" ht="10.5" customHeight="1" thickBot="1">
      <c r="A113" s="1248"/>
      <c r="B113" s="1248"/>
      <c r="C113" s="1248"/>
      <c r="D113" s="1248"/>
      <c r="E113" s="1248"/>
      <c r="F113" s="1248"/>
      <c r="G113" s="1250"/>
      <c r="H113" s="1250"/>
      <c r="I113" s="1250"/>
      <c r="J113" s="1250"/>
      <c r="K113" s="1250"/>
      <c r="L113" s="1252"/>
      <c r="M113" s="1252"/>
      <c r="N113" s="1252"/>
      <c r="O113" s="1252"/>
      <c r="P113" s="1252"/>
      <c r="Q113" s="1252"/>
      <c r="R113" s="1252"/>
      <c r="S113" s="1252"/>
      <c r="T113" s="1252"/>
      <c r="U113" s="1248"/>
      <c r="V113" s="1248"/>
      <c r="W113" s="1248"/>
      <c r="X113" s="1248"/>
      <c r="Y113" s="1248"/>
      <c r="Z113" s="1248"/>
      <c r="AA113" s="1246"/>
      <c r="AB113" s="1246"/>
      <c r="AC113" s="1246"/>
      <c r="AD113" s="1246"/>
      <c r="AE113" s="1246"/>
      <c r="AF113" s="1246"/>
      <c r="AG113" s="1246"/>
      <c r="AH113" s="1246"/>
      <c r="AI113" s="1246"/>
      <c r="AJ113" s="1246"/>
      <c r="AK113" s="1246"/>
      <c r="AL113" s="1246"/>
      <c r="AM113" s="1246"/>
      <c r="AN113" s="1246"/>
      <c r="AO113" s="1246"/>
      <c r="AP113" s="1246"/>
      <c r="AQ113" s="1246"/>
      <c r="AR113" s="1246"/>
      <c r="AS113" s="1246"/>
      <c r="AT113" s="1246"/>
      <c r="AU113" s="1246"/>
      <c r="AV113" s="1246"/>
      <c r="AW113" s="1246"/>
      <c r="AX113" s="1246"/>
      <c r="AY113" s="1246"/>
      <c r="AZ113" s="1246"/>
      <c r="BA113" s="1246"/>
      <c r="BB113" s="1246"/>
      <c r="BC113" s="1246"/>
      <c r="BD113" s="1246"/>
      <c r="BE113" s="186"/>
      <c r="BF113" s="1468">
        <f ca="1">INDIRECT(ADDRESS(ROW(BF113),111+$BF$28))</f>
        <v>60</v>
      </c>
      <c r="BG113" s="1228">
        <f>IF(BF113=60,"",INDEX('技能'!$B$12:$B$70,BF113))</f>
      </c>
      <c r="BH113" s="1228"/>
      <c r="BI113" s="1228"/>
      <c r="BJ113" s="1228"/>
      <c r="BK113" s="1228"/>
      <c r="BL113" s="1228"/>
      <c r="BM113" s="1228"/>
      <c r="BN113" s="1228"/>
      <c r="BO113" s="1228"/>
      <c r="BP113" s="1228"/>
      <c r="BQ113" s="1228"/>
      <c r="BR113" s="1228"/>
      <c r="BS113" s="1228"/>
      <c r="BT113" s="1228"/>
      <c r="BU113" s="1228"/>
      <c r="BV113" s="1228"/>
      <c r="BW113" s="1228"/>
      <c r="BX113" s="1228"/>
      <c r="BY113" s="1228"/>
      <c r="BZ113" s="1230">
        <f>IF(BF113=60,"",INDEX('技能'!$D$12:$D$70,BF113))</f>
      </c>
      <c r="CA113" s="1230"/>
      <c r="CB113" s="1230"/>
      <c r="CC113" s="431">
        <f>IF(BF113=60,"",IF(INDEX('技能'!$P$12:$P$70,BF113)=0,"*",""))</f>
      </c>
      <c r="CD113" s="1202">
        <f>IF(BF113=60,"",IF(BZ113="なし","-",INDEX('技能'!$E$12:$E$70,BF113)))</f>
      </c>
      <c r="CE113" s="1202"/>
      <c r="CF113" s="1202"/>
      <c r="CG113" s="1202"/>
      <c r="CH113" s="1204" t="s">
        <v>213</v>
      </c>
      <c r="CI113" s="1227">
        <f>IF(BF113=60,"",IF(BZ113="なし","-",INDEX('技能'!$F$12:$F$70,BF113)))</f>
      </c>
      <c r="CJ113" s="1227"/>
      <c r="CK113" s="1227"/>
      <c r="CL113" s="1204" t="s">
        <v>214</v>
      </c>
      <c r="CM113" s="1218">
        <f>IF(BF113=60,"",IF(INDEX('技能'!$G$12:$G$70,BF113)&lt;&gt;0,INDEX('技能'!$O$12:$O$70,BF113)&amp;"#",INDEX('技能'!$O$12:$O$70,BF113)))</f>
      </c>
      <c r="CN113" s="1218"/>
      <c r="CO113" s="1218"/>
      <c r="CP113" s="1204"/>
      <c r="CQ113" s="1220">
        <f>IF(BF113=60,"",IF(LEN(CX114)&lt;=14,CX114,CONCATENATE(IF(SUM(CX113:DD113)&gt;=0,"+",""),SUM(CX113:DD113),"(Total)")))</f>
      </c>
      <c r="CR113" s="1221"/>
      <c r="CS113" s="1221"/>
      <c r="CT113" s="1221"/>
      <c r="CU113" s="1221"/>
      <c r="CV113" s="1221"/>
      <c r="CW113" s="1221"/>
      <c r="CX113" s="186">
        <f>INDEX('技能'!$J$12:$J$71,' 印刷'!BF113)</f>
        <v>0</v>
      </c>
      <c r="CY113" s="186">
        <f>INDEX('技能'!$K$12:$K$71,BF113)</f>
        <v>0</v>
      </c>
      <c r="CZ113" s="186">
        <f>INDEX('技能'!$L$12:$L$71,BF113)</f>
        <v>0</v>
      </c>
      <c r="DA113" s="186">
        <f>INDEX('技能'!$M$12:$M$71,BF113)</f>
        <v>0</v>
      </c>
      <c r="DB113" s="186">
        <f>INDEX('技能'!$I$12:$I$71,BF113)</f>
        <v>0</v>
      </c>
      <c r="DC113" s="186">
        <f>INDEX('技能'!$H$12:$H$71,BF113)</f>
        <v>0</v>
      </c>
      <c r="DD113" s="186">
        <f>INDEX('技能'!$G$12:$G$71,BF113)</f>
        <v>0</v>
      </c>
      <c r="DE113" s="186">
        <f>INDEX('技能'!$P$12:$P$71,BF113)</f>
        <v>0</v>
      </c>
      <c r="DF113" s="351">
        <f>INDEX('技能'!$N$12:$N$71,BF113)</f>
        <v>0</v>
      </c>
      <c r="DH113" s="1197">
        <v>60</v>
      </c>
      <c r="DI113" s="1194">
        <v>21</v>
      </c>
      <c r="DJ113" s="1688"/>
      <c r="DK113" s="1688"/>
    </row>
    <row r="114" spans="1:115" ht="10.5" customHeight="1">
      <c r="A114" s="1259" t="s">
        <v>706</v>
      </c>
      <c r="B114" s="1259"/>
      <c r="C114" s="1259"/>
      <c r="D114" s="1170"/>
      <c r="E114" s="1170"/>
      <c r="F114" s="1170"/>
      <c r="G114" s="1170"/>
      <c r="H114" s="1170"/>
      <c r="I114" s="1170"/>
      <c r="J114" s="1170"/>
      <c r="K114" s="1170"/>
      <c r="L114" s="1170"/>
      <c r="M114" s="1170"/>
      <c r="N114" s="1170"/>
      <c r="O114" s="1170"/>
      <c r="P114" s="1170"/>
      <c r="Q114" s="1170"/>
      <c r="R114" s="1243" t="s">
        <v>705</v>
      </c>
      <c r="S114" s="1244"/>
      <c r="T114" s="1244"/>
      <c r="U114" s="1244"/>
      <c r="V114" s="1244"/>
      <c r="W114" s="1244"/>
      <c r="X114" s="1244"/>
      <c r="Y114" s="1244"/>
      <c r="Z114" s="1244"/>
      <c r="AA114" s="1244"/>
      <c r="AB114" s="1244"/>
      <c r="AC114" s="1244"/>
      <c r="AD114" s="1244"/>
      <c r="AE114" s="1244"/>
      <c r="AF114" s="1244"/>
      <c r="AG114" s="1244"/>
      <c r="AH114" s="1244"/>
      <c r="AI114" s="1244"/>
      <c r="AJ114" s="1244"/>
      <c r="AK114" s="1244"/>
      <c r="AL114" s="1244"/>
      <c r="AM114" s="1244"/>
      <c r="AN114" s="1244"/>
      <c r="AO114" s="1244"/>
      <c r="AP114" s="1244"/>
      <c r="AQ114" s="1244"/>
      <c r="AR114" s="1244"/>
      <c r="AS114" s="1244"/>
      <c r="AT114" s="1244"/>
      <c r="AU114" s="1244"/>
      <c r="AV114" s="1244"/>
      <c r="AW114" s="1244"/>
      <c r="AX114" s="1244"/>
      <c r="AY114" s="1244"/>
      <c r="AZ114" s="1244"/>
      <c r="BA114" s="1244"/>
      <c r="BB114" s="1244"/>
      <c r="BC114" s="1244"/>
      <c r="BD114" s="1244"/>
      <c r="BE114" s="186"/>
      <c r="BF114" s="1468"/>
      <c r="BG114" s="1229"/>
      <c r="BH114" s="1229"/>
      <c r="BI114" s="1229"/>
      <c r="BJ114" s="1229"/>
      <c r="BK114" s="1229"/>
      <c r="BL114" s="1229"/>
      <c r="BM114" s="1229"/>
      <c r="BN114" s="1229"/>
      <c r="BO114" s="1229"/>
      <c r="BP114" s="1229"/>
      <c r="BQ114" s="1229"/>
      <c r="BR114" s="1229"/>
      <c r="BS114" s="1229"/>
      <c r="BT114" s="1229"/>
      <c r="BU114" s="1229"/>
      <c r="BV114" s="1229"/>
      <c r="BW114" s="1229"/>
      <c r="BX114" s="1229"/>
      <c r="BY114" s="1229"/>
      <c r="BZ114" s="1231"/>
      <c r="CA114" s="1231"/>
      <c r="CB114" s="1231"/>
      <c r="CC114" s="431"/>
      <c r="CD114" s="1203"/>
      <c r="CE114" s="1203"/>
      <c r="CF114" s="1203"/>
      <c r="CG114" s="1203"/>
      <c r="CH114" s="1204"/>
      <c r="CI114" s="1201"/>
      <c r="CJ114" s="1201"/>
      <c r="CK114" s="1201"/>
      <c r="CL114" s="1204"/>
      <c r="CM114" s="1219"/>
      <c r="CN114" s="1219"/>
      <c r="CO114" s="1219"/>
      <c r="CP114" s="1204"/>
      <c r="CQ114" s="1222"/>
      <c r="CR114" s="1222"/>
      <c r="CS114" s="1222"/>
      <c r="CT114" s="1222"/>
      <c r="CU114" s="1222"/>
      <c r="CV114" s="1222"/>
      <c r="CW114" s="1222"/>
      <c r="CX114" s="186">
        <f>CONCATENATE(IF(CX113&lt;&gt;0,CONCATENATE(IF(CX113&gt;0,"+",""),CX113,"Env."),""),IF(CY113&lt;&gt;0,CONCATENATE(IF(CY113&gt;0,"+",""),CY113,"Misc"),""),IF(CZ113&lt;&gt;0,CONCATENATE(IF(CZ113&gt;0,"+",""),CZ113,"Size"),""),IF(DA113&lt;&gt;0,CONCATENATE(IF(DA113&gt;0,"+",""),DA113,"Race"),""),IF(DB113&lt;&gt;0,CONCATENATE(IF(DB113&gt;0,"+",""),DB113,"Cmp."),""),IF(DC113&lt;&gt;0,CONCATENATE(IF(DC113&gt;0,"+",""),DC113),""),IF(DE113="-","",IF(DE113=0,"",CONCATENATE(DE113,"ACP"))))</f>
      </c>
      <c r="CY114" s="186"/>
      <c r="CZ114" s="186"/>
      <c r="DA114" s="186"/>
      <c r="DB114" s="186"/>
      <c r="DH114" s="1197"/>
      <c r="DI114" s="1194"/>
      <c r="DJ114" s="1688"/>
      <c r="DK114" s="1688"/>
    </row>
    <row r="115" spans="1:115" ht="10.5" customHeight="1" thickBot="1">
      <c r="A115" s="431"/>
      <c r="B115" s="431"/>
      <c r="C115" s="431"/>
      <c r="D115" s="431"/>
      <c r="E115" s="431"/>
      <c r="F115" s="431"/>
      <c r="G115" s="431"/>
      <c r="H115" s="431"/>
      <c r="I115" s="431"/>
      <c r="J115" s="431"/>
      <c r="K115" s="431"/>
      <c r="L115" s="431"/>
      <c r="M115" s="431"/>
      <c r="N115" s="431"/>
      <c r="O115" s="431"/>
      <c r="P115" s="431"/>
      <c r="Q115" s="431"/>
      <c r="R115" s="1243" t="s">
        <v>705</v>
      </c>
      <c r="S115" s="1244"/>
      <c r="T115" s="1244"/>
      <c r="U115" s="1244"/>
      <c r="V115" s="1244"/>
      <c r="W115" s="1244"/>
      <c r="X115" s="1244"/>
      <c r="Y115" s="1244"/>
      <c r="Z115" s="1244"/>
      <c r="AA115" s="1244"/>
      <c r="AB115" s="1244"/>
      <c r="AC115" s="1244"/>
      <c r="AD115" s="1244"/>
      <c r="AE115" s="1244"/>
      <c r="AF115" s="1244"/>
      <c r="AG115" s="1244"/>
      <c r="AH115" s="1244"/>
      <c r="AI115" s="1244"/>
      <c r="AJ115" s="1244"/>
      <c r="AK115" s="1244"/>
      <c r="AL115" s="1244"/>
      <c r="AM115" s="1244"/>
      <c r="AN115" s="1244"/>
      <c r="AO115" s="1244"/>
      <c r="AP115" s="1244"/>
      <c r="AQ115" s="1244"/>
      <c r="AR115" s="1244"/>
      <c r="AS115" s="1244"/>
      <c r="AT115" s="1244"/>
      <c r="AU115" s="1244"/>
      <c r="AV115" s="1244"/>
      <c r="AW115" s="1244"/>
      <c r="AX115" s="1244"/>
      <c r="AY115" s="1244"/>
      <c r="AZ115" s="1244"/>
      <c r="BA115" s="1244"/>
      <c r="BB115" s="1244"/>
      <c r="BC115" s="1244"/>
      <c r="BD115" s="1244"/>
      <c r="BE115" s="186"/>
      <c r="BF115" s="1468">
        <f ca="1">INDIRECT(ADDRESS(ROW(BF115),111+$BF$28))</f>
        <v>60</v>
      </c>
      <c r="BG115" s="1228">
        <f>IF(BF115=60,"",INDEX('技能'!$B$12:$B$70,BF115))</f>
      </c>
      <c r="BH115" s="1228"/>
      <c r="BI115" s="1228"/>
      <c r="BJ115" s="1228"/>
      <c r="BK115" s="1228"/>
      <c r="BL115" s="1228"/>
      <c r="BM115" s="1228"/>
      <c r="BN115" s="1228"/>
      <c r="BO115" s="1228"/>
      <c r="BP115" s="1228"/>
      <c r="BQ115" s="1228"/>
      <c r="BR115" s="1228"/>
      <c r="BS115" s="1228"/>
      <c r="BT115" s="1228"/>
      <c r="BU115" s="1228"/>
      <c r="BV115" s="1228"/>
      <c r="BW115" s="1228"/>
      <c r="BX115" s="1228"/>
      <c r="BY115" s="1228"/>
      <c r="BZ115" s="1230">
        <f>IF(BF115=60,"",INDEX('技能'!$D$12:$D$70,BF115))</f>
      </c>
      <c r="CA115" s="1230"/>
      <c r="CB115" s="1230"/>
      <c r="CC115" s="431">
        <f>IF(BF115=60,"",IF(INDEX('技能'!$P$12:$P$70,BF115)=0,"*",""))</f>
      </c>
      <c r="CD115" s="1202">
        <f>IF(BF115=60,"",IF(BZ115="なし","-",INDEX('技能'!$E$12:$E$70,BF115)))</f>
      </c>
      <c r="CE115" s="1202"/>
      <c r="CF115" s="1202"/>
      <c r="CG115" s="1202"/>
      <c r="CH115" s="1204" t="s">
        <v>213</v>
      </c>
      <c r="CI115" s="1227">
        <f>IF(BF115=60,"",IF(BZ115="なし","-",INDEX('技能'!$F$12:$F$70,BF115)))</f>
      </c>
      <c r="CJ115" s="1227"/>
      <c r="CK115" s="1227"/>
      <c r="CL115" s="1204" t="s">
        <v>214</v>
      </c>
      <c r="CM115" s="1218">
        <f>IF(BF115=60,"",IF(INDEX('技能'!$G$12:$G$70,BF115)&lt;&gt;0,INDEX('技能'!$O$12:$O$70,BF115)&amp;"#",INDEX('技能'!$O$12:$O$70,BF115)))</f>
      </c>
      <c r="CN115" s="1218"/>
      <c r="CO115" s="1218"/>
      <c r="CP115" s="1204"/>
      <c r="CQ115" s="1220">
        <f>IF(BF115=60,"",IF(LEN(CX116)&lt;=14,CX116,CONCATENATE(IF(SUM(CX115:DD115)&gt;=0,"+",""),SUM(CX115:DD115),"(Total)")))</f>
      </c>
      <c r="CR115" s="1221"/>
      <c r="CS115" s="1221"/>
      <c r="CT115" s="1221"/>
      <c r="CU115" s="1221"/>
      <c r="CV115" s="1221"/>
      <c r="CW115" s="1221"/>
      <c r="CX115" s="186">
        <f>INDEX('技能'!$J$12:$J$71,' 印刷'!BF115)</f>
        <v>0</v>
      </c>
      <c r="CY115" s="186">
        <f>INDEX('技能'!$K$12:$K$71,BF115)</f>
        <v>0</v>
      </c>
      <c r="CZ115" s="186">
        <f>INDEX('技能'!$L$12:$L$71,BF115)</f>
        <v>0</v>
      </c>
      <c r="DA115" s="186">
        <f>INDEX('技能'!$M$12:$M$71,BF115)</f>
        <v>0</v>
      </c>
      <c r="DB115" s="186">
        <f>INDEX('技能'!$I$12:$I$71,BF115)</f>
        <v>0</v>
      </c>
      <c r="DC115" s="186">
        <f>INDEX('技能'!$H$12:$H$71,BF115)</f>
        <v>0</v>
      </c>
      <c r="DD115" s="186">
        <f>INDEX('技能'!$G$12:$G$71,BF115)</f>
        <v>0</v>
      </c>
      <c r="DE115" s="186">
        <f>INDEX('技能'!$P$12:$P$71,BF115)</f>
        <v>0</v>
      </c>
      <c r="DF115" s="351">
        <f>INDEX('技能'!$N$12:$N$71,BF115)</f>
        <v>0</v>
      </c>
      <c r="DH115" s="1197">
        <v>60</v>
      </c>
      <c r="DI115" s="1194">
        <v>22</v>
      </c>
      <c r="DJ115" s="1688"/>
      <c r="DK115" s="1688"/>
    </row>
    <row r="116" spans="1:115" ht="10.5" customHeight="1">
      <c r="A116" s="1253" t="s">
        <v>707</v>
      </c>
      <c r="B116" s="1254"/>
      <c r="C116" s="1254"/>
      <c r="D116" s="1254"/>
      <c r="E116" s="1254"/>
      <c r="F116" s="1254"/>
      <c r="G116" s="1254"/>
      <c r="H116" s="1254"/>
      <c r="I116" s="1254"/>
      <c r="J116" s="1254"/>
      <c r="K116" s="1254"/>
      <c r="L116" s="1254"/>
      <c r="M116" s="1254"/>
      <c r="N116" s="1254"/>
      <c r="O116" s="1254"/>
      <c r="P116" s="1254"/>
      <c r="Q116" s="1255"/>
      <c r="R116" s="470"/>
      <c r="S116" s="471"/>
      <c r="T116" s="471"/>
      <c r="U116" s="471"/>
      <c r="V116" s="471"/>
      <c r="W116" s="471"/>
      <c r="X116" s="471"/>
      <c r="Y116" s="471"/>
      <c r="Z116" s="471"/>
      <c r="AA116" s="472"/>
      <c r="AB116" s="472"/>
      <c r="AC116" s="472"/>
      <c r="AD116" s="472"/>
      <c r="AE116" s="472"/>
      <c r="AF116" s="472"/>
      <c r="AG116" s="472"/>
      <c r="AH116" s="472"/>
      <c r="AI116" s="469"/>
      <c r="AJ116" s="469"/>
      <c r="AK116" s="469"/>
      <c r="AL116" s="469"/>
      <c r="AM116" s="469"/>
      <c r="AN116" s="469"/>
      <c r="AO116" s="469"/>
      <c r="AP116" s="469"/>
      <c r="AQ116" s="469"/>
      <c r="AR116" s="469"/>
      <c r="AS116" s="469"/>
      <c r="AT116" s="469"/>
      <c r="AU116" s="469"/>
      <c r="AV116" s="469"/>
      <c r="AW116" s="469"/>
      <c r="AX116" s="469"/>
      <c r="AY116" s="469"/>
      <c r="AZ116" s="469"/>
      <c r="BA116" s="469"/>
      <c r="BB116" s="469"/>
      <c r="BC116" s="469"/>
      <c r="BD116" s="469"/>
      <c r="BE116" s="186"/>
      <c r="BF116" s="1468"/>
      <c r="BG116" s="1229"/>
      <c r="BH116" s="1229"/>
      <c r="BI116" s="1229"/>
      <c r="BJ116" s="1229"/>
      <c r="BK116" s="1229"/>
      <c r="BL116" s="1229"/>
      <c r="BM116" s="1229"/>
      <c r="BN116" s="1229"/>
      <c r="BO116" s="1229"/>
      <c r="BP116" s="1229"/>
      <c r="BQ116" s="1229"/>
      <c r="BR116" s="1229"/>
      <c r="BS116" s="1229"/>
      <c r="BT116" s="1229"/>
      <c r="BU116" s="1229"/>
      <c r="BV116" s="1229"/>
      <c r="BW116" s="1229"/>
      <c r="BX116" s="1229"/>
      <c r="BY116" s="1229"/>
      <c r="BZ116" s="1231"/>
      <c r="CA116" s="1231"/>
      <c r="CB116" s="1231"/>
      <c r="CC116" s="431"/>
      <c r="CD116" s="1203"/>
      <c r="CE116" s="1203"/>
      <c r="CF116" s="1203"/>
      <c r="CG116" s="1203"/>
      <c r="CH116" s="1204"/>
      <c r="CI116" s="1201"/>
      <c r="CJ116" s="1201"/>
      <c r="CK116" s="1201"/>
      <c r="CL116" s="1204"/>
      <c r="CM116" s="1219"/>
      <c r="CN116" s="1219"/>
      <c r="CO116" s="1219"/>
      <c r="CP116" s="1204"/>
      <c r="CQ116" s="1222"/>
      <c r="CR116" s="1222"/>
      <c r="CS116" s="1222"/>
      <c r="CT116" s="1222"/>
      <c r="CU116" s="1222"/>
      <c r="CV116" s="1222"/>
      <c r="CW116" s="1222"/>
      <c r="CX116" s="186">
        <f>CONCATENATE(IF(CX115&lt;&gt;0,CONCATENATE(IF(CX115&gt;0,"+",""),CX115,"Env."),""),IF(CY115&lt;&gt;0,CONCATENATE(IF(CY115&gt;0,"+",""),CY115,"Misc"),""),IF(CZ115&lt;&gt;0,CONCATENATE(IF(CZ115&gt;0,"+",""),CZ115,"Size"),""),IF(DA115&lt;&gt;0,CONCATENATE(IF(DA115&gt;0,"+",""),DA115,"Race"),""),IF(DB115&lt;&gt;0,CONCATENATE(IF(DB115&gt;0,"+",""),DB115,"Cmp."),""),IF(DC115&lt;&gt;0,CONCATENATE(IF(DC115&gt;0,"+",""),DC115),""),IF(DE115="-","",IF(DE115=0,"",CONCATENATE(DE115,"ACP"))))</f>
      </c>
      <c r="CY116" s="186"/>
      <c r="CZ116" s="186"/>
      <c r="DA116" s="186"/>
      <c r="DB116" s="186"/>
      <c r="DH116" s="1197"/>
      <c r="DI116" s="1194"/>
      <c r="DJ116" s="1688"/>
      <c r="DK116" s="1688"/>
    </row>
    <row r="117" spans="1:115" ht="10.5" customHeight="1" thickBot="1">
      <c r="A117" s="1256"/>
      <c r="B117" s="1257"/>
      <c r="C117" s="1257"/>
      <c r="D117" s="1257"/>
      <c r="E117" s="1257"/>
      <c r="F117" s="1257"/>
      <c r="G117" s="1257"/>
      <c r="H117" s="1257"/>
      <c r="I117" s="1257"/>
      <c r="J117" s="1257"/>
      <c r="K117" s="1257"/>
      <c r="L117" s="1257"/>
      <c r="M117" s="1257"/>
      <c r="N117" s="1257"/>
      <c r="O117" s="1257"/>
      <c r="P117" s="1257"/>
      <c r="Q117" s="1257"/>
      <c r="R117" s="1525" t="s">
        <v>0</v>
      </c>
      <c r="S117" s="1525"/>
      <c r="T117" s="1525"/>
      <c r="U117" s="1525"/>
      <c r="V117" s="1525"/>
      <c r="W117" s="1525"/>
      <c r="X117" s="1525"/>
      <c r="Y117" s="1525"/>
      <c r="Z117" s="1525"/>
      <c r="AA117" s="1525"/>
      <c r="AB117" s="1525"/>
      <c r="AC117" s="1605" t="s">
        <v>708</v>
      </c>
      <c r="AD117" s="1525"/>
      <c r="AE117" s="1525"/>
      <c r="AF117" s="1525"/>
      <c r="AG117" s="1525"/>
      <c r="AH117" s="1525"/>
      <c r="AI117" s="1525"/>
      <c r="AJ117" s="1525"/>
      <c r="AK117" s="1525"/>
      <c r="AL117" s="1525"/>
      <c r="AM117" s="1525"/>
      <c r="AN117" s="1525"/>
      <c r="AO117" s="1606"/>
      <c r="AP117" s="1525" t="s">
        <v>709</v>
      </c>
      <c r="AQ117" s="1525"/>
      <c r="AR117" s="1525"/>
      <c r="AS117" s="1525"/>
      <c r="AT117" s="1525"/>
      <c r="AU117" s="1525"/>
      <c r="AV117" s="1525"/>
      <c r="AW117" s="1525"/>
      <c r="AX117" s="1525"/>
      <c r="AY117" s="1525"/>
      <c r="AZ117" s="1525"/>
      <c r="BA117" s="1525"/>
      <c r="BB117" s="1525"/>
      <c r="BC117" s="1525"/>
      <c r="BD117" s="1525"/>
      <c r="BE117" s="213"/>
      <c r="BF117" s="1468">
        <f ca="1">INDIRECT(ADDRESS(ROW(BF117),111+$BF$28))</f>
        <v>60</v>
      </c>
      <c r="BG117" s="1228">
        <f>IF(BF117=60,"",INDEX('技能'!$B$12:$B$70,BF117))</f>
      </c>
      <c r="BH117" s="1228"/>
      <c r="BI117" s="1228"/>
      <c r="BJ117" s="1228"/>
      <c r="BK117" s="1228"/>
      <c r="BL117" s="1228"/>
      <c r="BM117" s="1228"/>
      <c r="BN117" s="1228"/>
      <c r="BO117" s="1228"/>
      <c r="BP117" s="1228"/>
      <c r="BQ117" s="1228"/>
      <c r="BR117" s="1228"/>
      <c r="BS117" s="1228"/>
      <c r="BT117" s="1228"/>
      <c r="BU117" s="1228"/>
      <c r="BV117" s="1228"/>
      <c r="BW117" s="1228"/>
      <c r="BX117" s="1228"/>
      <c r="BY117" s="1228"/>
      <c r="BZ117" s="1230">
        <f>IF(BF117=60,"",INDEX('技能'!$D$12:$D$70,BF117))</f>
      </c>
      <c r="CA117" s="1230"/>
      <c r="CB117" s="1230"/>
      <c r="CC117" s="431">
        <f>IF(BF117=60,"",IF(INDEX('技能'!$P$12:$P$70,BF117)=0,"*",""))</f>
      </c>
      <c r="CD117" s="1202">
        <f>IF(BF117=60,"",IF(BZ117="なし","-",INDEX('技能'!$E$12:$E$70,BF117)))</f>
      </c>
      <c r="CE117" s="1202"/>
      <c r="CF117" s="1202"/>
      <c r="CG117" s="1202"/>
      <c r="CH117" s="1204" t="s">
        <v>213</v>
      </c>
      <c r="CI117" s="1227">
        <f>IF(BF117=60,"",IF(BZ117="なし","-",INDEX('技能'!$F$12:$F$70,BF117)))</f>
      </c>
      <c r="CJ117" s="1227"/>
      <c r="CK117" s="1227"/>
      <c r="CL117" s="1204" t="s">
        <v>214</v>
      </c>
      <c r="CM117" s="1218">
        <f>IF(BF117=60,"",IF(INDEX('技能'!$G$12:$G$70,BF117)&lt;&gt;0,INDEX('技能'!$O$12:$O$70,BF117)&amp;"#",INDEX('技能'!$O$12:$O$70,BF117)))</f>
      </c>
      <c r="CN117" s="1218"/>
      <c r="CO117" s="1218"/>
      <c r="CP117" s="1204"/>
      <c r="CQ117" s="1220">
        <f>IF(BF117=60,"",IF(LEN(CX118)&lt;=14,CX118,CONCATENATE(IF(SUM(CX117:DD117)&gt;=0,"+",""),SUM(CX117:DD117),"(Total)")))</f>
      </c>
      <c r="CR117" s="1221"/>
      <c r="CS117" s="1221"/>
      <c r="CT117" s="1221"/>
      <c r="CU117" s="1221"/>
      <c r="CV117" s="1221"/>
      <c r="CW117" s="1221"/>
      <c r="CX117" s="186">
        <f>INDEX('技能'!$J$12:$J$71,' 印刷'!BF117)</f>
        <v>0</v>
      </c>
      <c r="CY117" s="186">
        <f>INDEX('技能'!$K$12:$K$71,BF117)</f>
        <v>0</v>
      </c>
      <c r="CZ117" s="186">
        <f>INDEX('技能'!$L$12:$L$71,BF117)</f>
        <v>0</v>
      </c>
      <c r="DA117" s="186">
        <f>INDEX('技能'!$M$12:$M$71,BF117)</f>
        <v>0</v>
      </c>
      <c r="DB117" s="186">
        <f>INDEX('技能'!$I$12:$I$71,BF117)</f>
        <v>0</v>
      </c>
      <c r="DC117" s="186">
        <f>INDEX('技能'!$H$12:$H$71,BF117)</f>
        <v>0</v>
      </c>
      <c r="DD117" s="186">
        <f>INDEX('技能'!$G$12:$G$71,BF117)</f>
        <v>0</v>
      </c>
      <c r="DE117" s="186">
        <f>INDEX('技能'!$P$12:$P$71,BF117)</f>
        <v>0</v>
      </c>
      <c r="DF117" s="351">
        <f>INDEX('技能'!$N$12:$N$71,BF117)</f>
        <v>0</v>
      </c>
      <c r="DH117" s="1197">
        <v>60</v>
      </c>
      <c r="DI117" s="1194">
        <v>28</v>
      </c>
      <c r="DJ117" s="1688"/>
      <c r="DK117" s="1688"/>
    </row>
    <row r="118" spans="1:115" ht="10.5" customHeight="1">
      <c r="A118" s="1526" t="str">
        <f>IF('装備'!C12=0,"",'装備'!C12)</f>
        <v>Glamered Splint Armor +1</v>
      </c>
      <c r="B118" s="1526"/>
      <c r="C118" s="1526"/>
      <c r="D118" s="1526"/>
      <c r="E118" s="1526"/>
      <c r="F118" s="1526"/>
      <c r="G118" s="1526"/>
      <c r="H118" s="1526"/>
      <c r="I118" s="1526"/>
      <c r="J118" s="1526"/>
      <c r="K118" s="1526"/>
      <c r="L118" s="1526"/>
      <c r="M118" s="1526"/>
      <c r="N118" s="1526"/>
      <c r="O118" s="1526"/>
      <c r="P118" s="1526"/>
      <c r="Q118" s="1526"/>
      <c r="R118" s="1703" t="e">
        <f>IF('装備'!C12=0,"",INDEX('能力'!BS33:BS35,'装備'!O12))</f>
        <v>#REF!</v>
      </c>
      <c r="S118" s="1703"/>
      <c r="T118" s="1703"/>
      <c r="U118" s="1703"/>
      <c r="V118" s="1703"/>
      <c r="W118" s="1703"/>
      <c r="X118" s="1703"/>
      <c r="Y118" s="1703"/>
      <c r="Z118" s="1703"/>
      <c r="AA118" s="1703"/>
      <c r="AB118" s="1703"/>
      <c r="AC118" s="1600" t="str">
        <f>IF('装備'!C12=0,"",CONCATENATE("+",'装備'!P12))</f>
        <v>+6</v>
      </c>
      <c r="AD118" s="1600"/>
      <c r="AE118" s="1600"/>
      <c r="AF118" s="1600"/>
      <c r="AG118" s="1600"/>
      <c r="AH118" s="1600"/>
      <c r="AI118" s="1600"/>
      <c r="AJ118" s="1600"/>
      <c r="AK118" s="1600"/>
      <c r="AL118" s="1600"/>
      <c r="AM118" s="1600"/>
      <c r="AN118" s="1600"/>
      <c r="AO118" s="1600"/>
      <c r="AP118" s="1600" t="str">
        <f>IF('装備'!C12=0,"",IF('装備'!Q12&gt;999,"なし",CONCATENATE("+",'装備'!Q12)))</f>
        <v>+</v>
      </c>
      <c r="AQ118" s="1600"/>
      <c r="AR118" s="1600"/>
      <c r="AS118" s="1600"/>
      <c r="AT118" s="1600"/>
      <c r="AU118" s="1600"/>
      <c r="AV118" s="1600"/>
      <c r="AW118" s="1600"/>
      <c r="AX118" s="1600"/>
      <c r="AY118" s="1600"/>
      <c r="AZ118" s="1600"/>
      <c r="BA118" s="1600"/>
      <c r="BB118" s="1600"/>
      <c r="BC118" s="1600"/>
      <c r="BD118" s="1600"/>
      <c r="BE118" s="186"/>
      <c r="BF118" s="1468"/>
      <c r="BG118" s="1229"/>
      <c r="BH118" s="1229"/>
      <c r="BI118" s="1229"/>
      <c r="BJ118" s="1229"/>
      <c r="BK118" s="1229"/>
      <c r="BL118" s="1229"/>
      <c r="BM118" s="1229"/>
      <c r="BN118" s="1229"/>
      <c r="BO118" s="1229"/>
      <c r="BP118" s="1229"/>
      <c r="BQ118" s="1229"/>
      <c r="BR118" s="1229"/>
      <c r="BS118" s="1229"/>
      <c r="BT118" s="1229"/>
      <c r="BU118" s="1229"/>
      <c r="BV118" s="1229"/>
      <c r="BW118" s="1229"/>
      <c r="BX118" s="1229"/>
      <c r="BY118" s="1229"/>
      <c r="BZ118" s="1231"/>
      <c r="CA118" s="1231"/>
      <c r="CB118" s="1231"/>
      <c r="CC118" s="431"/>
      <c r="CD118" s="1203"/>
      <c r="CE118" s="1203"/>
      <c r="CF118" s="1203"/>
      <c r="CG118" s="1203"/>
      <c r="CH118" s="1204"/>
      <c r="CI118" s="1201"/>
      <c r="CJ118" s="1201"/>
      <c r="CK118" s="1201"/>
      <c r="CL118" s="1204"/>
      <c r="CM118" s="1219"/>
      <c r="CN118" s="1219"/>
      <c r="CO118" s="1219"/>
      <c r="CP118" s="1204"/>
      <c r="CQ118" s="1222"/>
      <c r="CR118" s="1222"/>
      <c r="CS118" s="1222"/>
      <c r="CT118" s="1222"/>
      <c r="CU118" s="1222"/>
      <c r="CV118" s="1222"/>
      <c r="CW118" s="1222"/>
      <c r="CX118" s="186">
        <f>CONCATENATE(IF(CX117&lt;&gt;0,CONCATENATE(IF(CX117&gt;0,"+",""),CX117,"Env."),""),IF(CY117&lt;&gt;0,CONCATENATE(IF(CY117&gt;0,"+",""),CY117,"Misc"),""),IF(CZ117&lt;&gt;0,CONCATENATE(IF(CZ117&gt;0,"+",""),CZ117,"Size"),""),IF(DA117&lt;&gt;0,CONCATENATE(IF(DA117&gt;0,"+",""),DA117,"Race"),""),IF(DB117&lt;&gt;0,CONCATENATE(IF(DB117&gt;0,"+",""),DB117,"Cmp."),""),IF(DC117&lt;&gt;0,CONCATENATE(IF(DC117&gt;0,"+",""),DC117),""),IF(DE117="-","",IF(DE117=0,"",CONCATENATE(DE117,"ACP"))))</f>
      </c>
      <c r="CY118" s="186"/>
      <c r="CZ118" s="186"/>
      <c r="DA118" s="186"/>
      <c r="DB118" s="186"/>
      <c r="DH118" s="1197"/>
      <c r="DI118" s="1194"/>
      <c r="DJ118" s="1688"/>
      <c r="DK118" s="1688"/>
    </row>
    <row r="119" spans="1:115" ht="10.5" customHeight="1" thickBot="1">
      <c r="A119" s="1527"/>
      <c r="B119" s="1527"/>
      <c r="C119" s="1527"/>
      <c r="D119" s="1527"/>
      <c r="E119" s="1527"/>
      <c r="F119" s="1527"/>
      <c r="G119" s="1527"/>
      <c r="H119" s="1527"/>
      <c r="I119" s="1527"/>
      <c r="J119" s="1527"/>
      <c r="K119" s="1527"/>
      <c r="L119" s="1527"/>
      <c r="M119" s="1527"/>
      <c r="N119" s="1527"/>
      <c r="O119" s="1527"/>
      <c r="P119" s="1527"/>
      <c r="Q119" s="1527"/>
      <c r="R119" s="1704"/>
      <c r="S119" s="1704"/>
      <c r="T119" s="1704"/>
      <c r="U119" s="1704"/>
      <c r="V119" s="1704"/>
      <c r="W119" s="1704"/>
      <c r="X119" s="1704"/>
      <c r="Y119" s="1704"/>
      <c r="Z119" s="1704"/>
      <c r="AA119" s="1704"/>
      <c r="AB119" s="1704"/>
      <c r="AC119" s="1601"/>
      <c r="AD119" s="1601"/>
      <c r="AE119" s="1601"/>
      <c r="AF119" s="1601"/>
      <c r="AG119" s="1601"/>
      <c r="AH119" s="1601"/>
      <c r="AI119" s="1601"/>
      <c r="AJ119" s="1601"/>
      <c r="AK119" s="1601"/>
      <c r="AL119" s="1601"/>
      <c r="AM119" s="1601"/>
      <c r="AN119" s="1601"/>
      <c r="AO119" s="1601"/>
      <c r="AP119" s="1601"/>
      <c r="AQ119" s="1601"/>
      <c r="AR119" s="1601"/>
      <c r="AS119" s="1601"/>
      <c r="AT119" s="1601"/>
      <c r="AU119" s="1601"/>
      <c r="AV119" s="1601"/>
      <c r="AW119" s="1601"/>
      <c r="AX119" s="1601"/>
      <c r="AY119" s="1601"/>
      <c r="AZ119" s="1601"/>
      <c r="BA119" s="1601"/>
      <c r="BB119" s="1601"/>
      <c r="BC119" s="1601"/>
      <c r="BD119" s="1601"/>
      <c r="BE119" s="186"/>
      <c r="BF119" s="1468">
        <f ca="1">INDIRECT(ADDRESS(ROW(BF119),111+$BF$28))</f>
        <v>60</v>
      </c>
      <c r="BG119" s="1228">
        <f>IF(BF119=60,"",INDEX('技能'!$B$12:$B$70,BF119))</f>
      </c>
      <c r="BH119" s="1228"/>
      <c r="BI119" s="1228"/>
      <c r="BJ119" s="1228"/>
      <c r="BK119" s="1228"/>
      <c r="BL119" s="1228"/>
      <c r="BM119" s="1228"/>
      <c r="BN119" s="1228"/>
      <c r="BO119" s="1228"/>
      <c r="BP119" s="1228"/>
      <c r="BQ119" s="1228"/>
      <c r="BR119" s="1228"/>
      <c r="BS119" s="1228"/>
      <c r="BT119" s="1228"/>
      <c r="BU119" s="1228"/>
      <c r="BV119" s="1228"/>
      <c r="BW119" s="1228"/>
      <c r="BX119" s="1228"/>
      <c r="BY119" s="1228"/>
      <c r="BZ119" s="1230">
        <f>IF(BF119=60,"",INDEX('技能'!$D$12:$D$70,BF119))</f>
      </c>
      <c r="CA119" s="1230"/>
      <c r="CB119" s="1230"/>
      <c r="CC119" s="431">
        <f>IF(BF119=60,"",IF(INDEX('技能'!$P$12:$P$70,BF119)=0,"*",""))</f>
      </c>
      <c r="CD119" s="1202">
        <f>IF(BF119=60,"",IF(BZ119="なし","-",INDEX('技能'!$E$12:$E$70,BF119)))</f>
      </c>
      <c r="CE119" s="1202"/>
      <c r="CF119" s="1202"/>
      <c r="CG119" s="1202"/>
      <c r="CH119" s="1204" t="s">
        <v>213</v>
      </c>
      <c r="CI119" s="1227">
        <f>IF(BF119=60,"",IF(BZ119="なし","-",INDEX('技能'!$F$12:$F$70,BF119)))</f>
      </c>
      <c r="CJ119" s="1227"/>
      <c r="CK119" s="1227"/>
      <c r="CL119" s="1204" t="s">
        <v>214</v>
      </c>
      <c r="CM119" s="1218">
        <f>IF(BF119=60,"",IF(INDEX('技能'!$G$12:$G$70,BF119)&lt;&gt;0,INDEX('技能'!$O$12:$O$70,BF119)&amp;"#",INDEX('技能'!$O$12:$O$70,BF119)))</f>
      </c>
      <c r="CN119" s="1218"/>
      <c r="CO119" s="1218"/>
      <c r="CP119" s="1204"/>
      <c r="CQ119" s="1220">
        <f>IF(BF119=60,"",IF(LEN(CX120)&lt;=14,CX120,CONCATENATE(IF(SUM(CX119:DD119)&gt;=0,"+",""),SUM(CX119:DD119),"(Total)")))</f>
      </c>
      <c r="CR119" s="1221"/>
      <c r="CS119" s="1221"/>
      <c r="CT119" s="1221"/>
      <c r="CU119" s="1221"/>
      <c r="CV119" s="1221"/>
      <c r="CW119" s="1221"/>
      <c r="CX119" s="186">
        <f>INDEX('技能'!$J$12:$J$71,' 印刷'!BF119)</f>
        <v>0</v>
      </c>
      <c r="CY119" s="186">
        <f>INDEX('技能'!$K$12:$K$71,BF119)</f>
        <v>0</v>
      </c>
      <c r="CZ119" s="186">
        <f>INDEX('技能'!$L$12:$L$71,BF119)</f>
        <v>0</v>
      </c>
      <c r="DA119" s="186">
        <f>INDEX('技能'!$M$12:$M$71,BF119)</f>
        <v>0</v>
      </c>
      <c r="DB119" s="186">
        <f>INDEX('技能'!$I$12:$I$71,BF119)</f>
        <v>0</v>
      </c>
      <c r="DC119" s="186">
        <f>INDEX('技能'!$H$12:$H$71,BF119)</f>
        <v>0</v>
      </c>
      <c r="DD119" s="186">
        <f>INDEX('技能'!$G$12:$G$71,BF119)</f>
        <v>0</v>
      </c>
      <c r="DE119" s="186">
        <f>INDEX('技能'!$P$12:$P$71,BF119)</f>
        <v>0</v>
      </c>
      <c r="DF119" s="351">
        <f>INDEX('技能'!$N$12:$N$71,BF119)</f>
        <v>0</v>
      </c>
      <c r="DH119" s="1197">
        <v>60</v>
      </c>
      <c r="DI119" s="1194">
        <v>46</v>
      </c>
      <c r="DJ119" s="1688"/>
      <c r="DK119" s="1688"/>
    </row>
    <row r="120" spans="1:115" ht="10.5" customHeight="1" thickBot="1">
      <c r="A120" s="1530" t="s">
        <v>710</v>
      </c>
      <c r="B120" s="1531"/>
      <c r="C120" s="1531"/>
      <c r="D120" s="1531"/>
      <c r="E120" s="1531"/>
      <c r="F120" s="1531"/>
      <c r="G120" s="1532"/>
      <c r="H120" s="1281" t="s">
        <v>711</v>
      </c>
      <c r="I120" s="1282"/>
      <c r="J120" s="1282"/>
      <c r="K120" s="1282"/>
      <c r="L120" s="1282"/>
      <c r="M120" s="1282"/>
      <c r="N120" s="1283"/>
      <c r="O120" s="1281" t="s">
        <v>712</v>
      </c>
      <c r="P120" s="1282"/>
      <c r="Q120" s="1282"/>
      <c r="R120" s="1282"/>
      <c r="S120" s="1283"/>
      <c r="T120" s="1282" t="s">
        <v>700</v>
      </c>
      <c r="U120" s="1282"/>
      <c r="V120" s="1282"/>
      <c r="W120" s="1282"/>
      <c r="X120" s="1282"/>
      <c r="Y120" s="1282"/>
      <c r="Z120" s="1283"/>
      <c r="AA120" s="1282" t="s">
        <v>703</v>
      </c>
      <c r="AB120" s="1282"/>
      <c r="AC120" s="1282"/>
      <c r="AD120" s="1282"/>
      <c r="AE120" s="1282"/>
      <c r="AF120" s="1282"/>
      <c r="AG120" s="1282"/>
      <c r="AH120" s="1282"/>
      <c r="AI120" s="1282"/>
      <c r="AJ120" s="1282"/>
      <c r="AK120" s="1282"/>
      <c r="AL120" s="1282"/>
      <c r="AM120" s="1282"/>
      <c r="AN120" s="1282"/>
      <c r="AO120" s="1282"/>
      <c r="AP120" s="1282"/>
      <c r="AQ120" s="1282"/>
      <c r="AR120" s="1282"/>
      <c r="AS120" s="1282"/>
      <c r="AT120" s="1282"/>
      <c r="AU120" s="1282"/>
      <c r="AV120" s="1282"/>
      <c r="AW120" s="1282"/>
      <c r="AX120" s="1282"/>
      <c r="AY120" s="1282"/>
      <c r="AZ120" s="1282"/>
      <c r="BA120" s="1282"/>
      <c r="BB120" s="1282"/>
      <c r="BC120" s="1282"/>
      <c r="BD120" s="1282"/>
      <c r="BE120" s="213"/>
      <c r="BF120" s="1468"/>
      <c r="BG120" s="1229"/>
      <c r="BH120" s="1229"/>
      <c r="BI120" s="1229"/>
      <c r="BJ120" s="1229"/>
      <c r="BK120" s="1229"/>
      <c r="BL120" s="1229"/>
      <c r="BM120" s="1229"/>
      <c r="BN120" s="1229"/>
      <c r="BO120" s="1229"/>
      <c r="BP120" s="1229"/>
      <c r="BQ120" s="1229"/>
      <c r="BR120" s="1229"/>
      <c r="BS120" s="1229"/>
      <c r="BT120" s="1229"/>
      <c r="BU120" s="1229"/>
      <c r="BV120" s="1229"/>
      <c r="BW120" s="1229"/>
      <c r="BX120" s="1229"/>
      <c r="BY120" s="1229"/>
      <c r="BZ120" s="1231"/>
      <c r="CA120" s="1231"/>
      <c r="CB120" s="1231"/>
      <c r="CC120" s="431"/>
      <c r="CD120" s="1203"/>
      <c r="CE120" s="1203"/>
      <c r="CF120" s="1203"/>
      <c r="CG120" s="1203"/>
      <c r="CH120" s="1204"/>
      <c r="CI120" s="1201"/>
      <c r="CJ120" s="1201"/>
      <c r="CK120" s="1201"/>
      <c r="CL120" s="1204"/>
      <c r="CM120" s="1219"/>
      <c r="CN120" s="1219"/>
      <c r="CO120" s="1219"/>
      <c r="CP120" s="1204"/>
      <c r="CQ120" s="1222"/>
      <c r="CR120" s="1222"/>
      <c r="CS120" s="1222"/>
      <c r="CT120" s="1222"/>
      <c r="CU120" s="1222"/>
      <c r="CV120" s="1222"/>
      <c r="CW120" s="1222"/>
      <c r="CX120" s="186">
        <f>CONCATENATE(IF(CX119&lt;&gt;0,CONCATENATE(IF(CX119&gt;0,"+",""),CX119,"Env."),""),IF(CY119&lt;&gt;0,CONCATENATE(IF(CY119&gt;0,"+",""),CY119,"Misc"),""),IF(CZ119&lt;&gt;0,CONCATENATE(IF(CZ119&gt;0,"+",""),CZ119,"Size"),""),IF(DA119&lt;&gt;0,CONCATENATE(IF(DA119&gt;0,"+",""),DA119,"Race"),""),IF(DB119&lt;&gt;0,CONCATENATE(IF(DB119&gt;0,"+",""),DB119,"Cmp."),""),IF(DC119&lt;&gt;0,CONCATENATE(IF(DC119&gt;0,"+",""),DC119),""),IF(DE119="-","",IF(DE119=0,"",CONCATENATE(DE119,"ACP"))))</f>
      </c>
      <c r="CY120" s="186"/>
      <c r="CZ120" s="186"/>
      <c r="DA120" s="186"/>
      <c r="DB120" s="186"/>
      <c r="DH120" s="1197"/>
      <c r="DI120" s="1194"/>
      <c r="DJ120" s="1688"/>
      <c r="DK120" s="1688"/>
    </row>
    <row r="121" spans="1:115" ht="10.5" customHeight="1">
      <c r="A121" s="1541">
        <f>IF('装備'!C12=0,"",'装備'!R12)</f>
        <v>-5</v>
      </c>
      <c r="B121" s="1541"/>
      <c r="C121" s="1541"/>
      <c r="D121" s="1541"/>
      <c r="E121" s="1541"/>
      <c r="F121" s="1541"/>
      <c r="G121" s="1541"/>
      <c r="H121" s="1705">
        <f>IF('装備'!C12=0,"",'装備'!S12)</f>
        <v>0</v>
      </c>
      <c r="I121" s="1705"/>
      <c r="J121" s="1705"/>
      <c r="K121" s="1705"/>
      <c r="L121" s="1705"/>
      <c r="M121" s="1705"/>
      <c r="N121" s="1705"/>
      <c r="O121" s="1707">
        <f>IF('装備'!C12=0,"",IF('装備'!O12=4,"",IF('装備'!O12=3,P150,IF('装備'!O12=2,L150,IF('装備'!O12=1,H150,"")))))</f>
      </c>
      <c r="P121" s="1707"/>
      <c r="Q121" s="1707"/>
      <c r="R121" s="1707"/>
      <c r="S121" s="1707"/>
      <c r="T121" s="1543" t="str">
        <f>IF('装備'!C12=0,"",IF('装備'!E12=0,"-",'装備'!E12&amp;" lbs"))</f>
        <v>45 lbs</v>
      </c>
      <c r="U121" s="1543"/>
      <c r="V121" s="1543"/>
      <c r="W121" s="1543"/>
      <c r="X121" s="1543"/>
      <c r="Y121" s="1543"/>
      <c r="Z121" s="1543"/>
      <c r="AA121" s="1538" t="str">
        <f>IF('装備'!C12=0,"",IF('装備'!T12=0,"",'装備'!T12))</f>
        <v>AR16/Piercing</v>
      </c>
      <c r="AB121" s="1538"/>
      <c r="AC121" s="1538"/>
      <c r="AD121" s="1538"/>
      <c r="AE121" s="1538"/>
      <c r="AF121" s="1538"/>
      <c r="AG121" s="1538"/>
      <c r="AH121" s="1538"/>
      <c r="AI121" s="1538"/>
      <c r="AJ121" s="1538"/>
      <c r="AK121" s="1538"/>
      <c r="AL121" s="1538"/>
      <c r="AM121" s="1538"/>
      <c r="AN121" s="1538"/>
      <c r="AO121" s="1538"/>
      <c r="AP121" s="1538"/>
      <c r="AQ121" s="1538"/>
      <c r="AR121" s="1538"/>
      <c r="AS121" s="1538"/>
      <c r="AT121" s="1538"/>
      <c r="AU121" s="1538"/>
      <c r="AV121" s="1538"/>
      <c r="AW121" s="1538"/>
      <c r="AX121" s="1538"/>
      <c r="AY121" s="1538"/>
      <c r="AZ121" s="1538"/>
      <c r="BA121" s="1538"/>
      <c r="BB121" s="1538"/>
      <c r="BC121" s="1538"/>
      <c r="BD121" s="1538"/>
      <c r="BE121" s="186"/>
      <c r="BF121" s="1468">
        <f ca="1">INDIRECT(ADDRESS(ROW(BF121),111+$BF$28))</f>
        <v>60</v>
      </c>
      <c r="BG121" s="1228">
        <f>IF(BF121=60,"",INDEX('技能'!$B$12:$B$70,BF121))</f>
      </c>
      <c r="BH121" s="1228"/>
      <c r="BI121" s="1228"/>
      <c r="BJ121" s="1228"/>
      <c r="BK121" s="1228"/>
      <c r="BL121" s="1228"/>
      <c r="BM121" s="1228"/>
      <c r="BN121" s="1228"/>
      <c r="BO121" s="1228"/>
      <c r="BP121" s="1228"/>
      <c r="BQ121" s="1228"/>
      <c r="BR121" s="1228"/>
      <c r="BS121" s="1228"/>
      <c r="BT121" s="1228"/>
      <c r="BU121" s="1228"/>
      <c r="BV121" s="1228"/>
      <c r="BW121" s="1228"/>
      <c r="BX121" s="1228"/>
      <c r="BY121" s="1228"/>
      <c r="BZ121" s="1230">
        <f>IF(BF121=60,"",INDEX('技能'!$D$12:$D$70,BF121))</f>
      </c>
      <c r="CA121" s="1230"/>
      <c r="CB121" s="1230"/>
      <c r="CC121" s="431">
        <f>IF(BF121=60,"",IF(INDEX('技能'!$P$12:$P$70,BF121)=0,"*",""))</f>
      </c>
      <c r="CD121" s="1202">
        <f>IF(BF121=60,"",IF(BZ121="なし","-",INDEX('技能'!$E$12:$E$70,BF121)))</f>
      </c>
      <c r="CE121" s="1202"/>
      <c r="CF121" s="1202"/>
      <c r="CG121" s="1202"/>
      <c r="CH121" s="1204" t="s">
        <v>213</v>
      </c>
      <c r="CI121" s="1227">
        <f>IF(BF121=60,"",IF(BZ121="なし","-",INDEX('技能'!$F$12:$F$70,BF121)))</f>
      </c>
      <c r="CJ121" s="1227"/>
      <c r="CK121" s="1227"/>
      <c r="CL121" s="1204" t="s">
        <v>214</v>
      </c>
      <c r="CM121" s="1218">
        <f>IF(BF121=60,"",IF(INDEX('技能'!$G$12:$G$70,BF121)&lt;&gt;0,INDEX('技能'!$O$12:$O$70,BF121)&amp;"#",INDEX('技能'!$O$12:$O$70,BF121)))</f>
      </c>
      <c r="CN121" s="1218"/>
      <c r="CO121" s="1218"/>
      <c r="CP121" s="1204"/>
      <c r="CQ121" s="1220">
        <f>IF(BF121=60,"",IF(LEN(CX122)&lt;=14,CX122,CONCATENATE(IF(SUM(CX121:DD121)&gt;=0,"+",""),SUM(CX121:DD121),"(Total)")))</f>
      </c>
      <c r="CR121" s="1221"/>
      <c r="CS121" s="1221"/>
      <c r="CT121" s="1221"/>
      <c r="CU121" s="1221"/>
      <c r="CV121" s="1221"/>
      <c r="CW121" s="1221"/>
      <c r="CX121" s="186">
        <f>INDEX('技能'!$J$12:$J$71,' 印刷'!BF121)</f>
        <v>0</v>
      </c>
      <c r="CY121" s="186">
        <f>INDEX('技能'!$K$12:$K$71,BF121)</f>
        <v>0</v>
      </c>
      <c r="CZ121" s="186">
        <f>INDEX('技能'!$L$12:$L$71,BF121)</f>
        <v>0</v>
      </c>
      <c r="DA121" s="186">
        <f>INDEX('技能'!$M$12:$M$71,BF121)</f>
        <v>0</v>
      </c>
      <c r="DB121" s="186">
        <f>INDEX('技能'!$I$12:$I$71,BF121)</f>
        <v>0</v>
      </c>
      <c r="DC121" s="186">
        <f>INDEX('技能'!$H$12:$H$71,BF121)</f>
        <v>0</v>
      </c>
      <c r="DD121" s="186">
        <f>INDEX('技能'!$G$12:$G$71,BF121)</f>
        <v>0</v>
      </c>
      <c r="DE121" s="186">
        <f>INDEX('技能'!$P$12:$P$71,BF121)</f>
        <v>0</v>
      </c>
      <c r="DF121" s="351">
        <f>INDEX('技能'!$N$12:$N$71,BF121)</f>
        <v>0</v>
      </c>
      <c r="DH121" s="1197">
        <v>60</v>
      </c>
      <c r="DI121" s="1194">
        <v>58</v>
      </c>
      <c r="DJ121" s="1688"/>
      <c r="DK121" s="1688"/>
    </row>
    <row r="122" spans="1:115" ht="10.5" customHeight="1" thickBot="1">
      <c r="A122" s="1542"/>
      <c r="B122" s="1542"/>
      <c r="C122" s="1542"/>
      <c r="D122" s="1542"/>
      <c r="E122" s="1542"/>
      <c r="F122" s="1542"/>
      <c r="G122" s="1542"/>
      <c r="H122" s="1706"/>
      <c r="I122" s="1706"/>
      <c r="J122" s="1706"/>
      <c r="K122" s="1706"/>
      <c r="L122" s="1706"/>
      <c r="M122" s="1706"/>
      <c r="N122" s="1706"/>
      <c r="O122" s="1708"/>
      <c r="P122" s="1708"/>
      <c r="Q122" s="1708"/>
      <c r="R122" s="1708"/>
      <c r="S122" s="1708"/>
      <c r="T122" s="1544"/>
      <c r="U122" s="1544"/>
      <c r="V122" s="1544"/>
      <c r="W122" s="1544"/>
      <c r="X122" s="1544"/>
      <c r="Y122" s="1544"/>
      <c r="Z122" s="1544"/>
      <c r="AA122" s="1539"/>
      <c r="AB122" s="1539"/>
      <c r="AC122" s="1539"/>
      <c r="AD122" s="1539"/>
      <c r="AE122" s="1539"/>
      <c r="AF122" s="1539"/>
      <c r="AG122" s="1539"/>
      <c r="AH122" s="1539"/>
      <c r="AI122" s="1539"/>
      <c r="AJ122" s="1539"/>
      <c r="AK122" s="1539"/>
      <c r="AL122" s="1539"/>
      <c r="AM122" s="1539"/>
      <c r="AN122" s="1539"/>
      <c r="AO122" s="1539"/>
      <c r="AP122" s="1539"/>
      <c r="AQ122" s="1539"/>
      <c r="AR122" s="1539"/>
      <c r="AS122" s="1539"/>
      <c r="AT122" s="1539"/>
      <c r="AU122" s="1539"/>
      <c r="AV122" s="1539"/>
      <c r="AW122" s="1539"/>
      <c r="AX122" s="1539"/>
      <c r="AY122" s="1539"/>
      <c r="AZ122" s="1539"/>
      <c r="BA122" s="1539"/>
      <c r="BB122" s="1539"/>
      <c r="BC122" s="1539"/>
      <c r="BD122" s="1539"/>
      <c r="BE122" s="186"/>
      <c r="BF122" s="1468"/>
      <c r="BG122" s="1229"/>
      <c r="BH122" s="1229"/>
      <c r="BI122" s="1229"/>
      <c r="BJ122" s="1229"/>
      <c r="BK122" s="1229"/>
      <c r="BL122" s="1229"/>
      <c r="BM122" s="1229"/>
      <c r="BN122" s="1229"/>
      <c r="BO122" s="1229"/>
      <c r="BP122" s="1229"/>
      <c r="BQ122" s="1229"/>
      <c r="BR122" s="1229"/>
      <c r="BS122" s="1229"/>
      <c r="BT122" s="1229"/>
      <c r="BU122" s="1229"/>
      <c r="BV122" s="1229"/>
      <c r="BW122" s="1229"/>
      <c r="BX122" s="1229"/>
      <c r="BY122" s="1229"/>
      <c r="BZ122" s="1231"/>
      <c r="CA122" s="1231"/>
      <c r="CB122" s="1231"/>
      <c r="CC122" s="431"/>
      <c r="CD122" s="1203"/>
      <c r="CE122" s="1203"/>
      <c r="CF122" s="1203"/>
      <c r="CG122" s="1203"/>
      <c r="CH122" s="1204"/>
      <c r="CI122" s="1201"/>
      <c r="CJ122" s="1201"/>
      <c r="CK122" s="1201"/>
      <c r="CL122" s="1204"/>
      <c r="CM122" s="1219"/>
      <c r="CN122" s="1219"/>
      <c r="CO122" s="1219"/>
      <c r="CP122" s="1204"/>
      <c r="CQ122" s="1222"/>
      <c r="CR122" s="1222"/>
      <c r="CS122" s="1222"/>
      <c r="CT122" s="1222"/>
      <c r="CU122" s="1222"/>
      <c r="CV122" s="1222"/>
      <c r="CW122" s="1222"/>
      <c r="CX122" s="186">
        <f>CONCATENATE(IF(CX121&lt;&gt;0,CONCATENATE(IF(CX121&gt;0,"+",""),CX121,"Env."),""),IF(CY121&lt;&gt;0,CONCATENATE(IF(CY121&gt;0,"+",""),CY121,"Misc"),""),IF(CZ121&lt;&gt;0,CONCATENATE(IF(CZ121&gt;0,"+",""),CZ121,"Size"),""),IF(DA121&lt;&gt;0,CONCATENATE(IF(DA121&gt;0,"+",""),DA121,"Race"),""),IF(DB121&lt;&gt;0,CONCATENATE(IF(DB121&gt;0,"+",""),DB121,"Cmp."),""),IF(DC121&lt;&gt;0,CONCATENATE(IF(DC121&gt;0,"+",""),DC121),""),IF(DE121="-","",IF(DE121=0,"",CONCATENATE(DE121,"ACP"))))</f>
      </c>
      <c r="CY122" s="186"/>
      <c r="CZ122" s="186"/>
      <c r="DA122" s="186"/>
      <c r="DB122" s="186"/>
      <c r="DH122" s="1197"/>
      <c r="DI122" s="1194"/>
      <c r="DJ122" s="1688"/>
      <c r="DK122" s="1688"/>
    </row>
    <row r="123" spans="1:115" ht="10.5" customHeight="1" thickBot="1">
      <c r="A123" s="441"/>
      <c r="B123" s="441"/>
      <c r="C123" s="441"/>
      <c r="D123" s="441"/>
      <c r="E123" s="441"/>
      <c r="F123" s="441"/>
      <c r="G123" s="441"/>
      <c r="H123" s="441"/>
      <c r="I123" s="441"/>
      <c r="J123" s="441"/>
      <c r="K123" s="441"/>
      <c r="L123" s="441"/>
      <c r="M123" s="441"/>
      <c r="N123" s="441"/>
      <c r="O123" s="441"/>
      <c r="P123" s="441"/>
      <c r="Q123" s="441"/>
      <c r="R123" s="441"/>
      <c r="S123" s="441"/>
      <c r="T123" s="441"/>
      <c r="U123" s="441"/>
      <c r="V123" s="441"/>
      <c r="W123" s="441"/>
      <c r="X123" s="441"/>
      <c r="Y123" s="441"/>
      <c r="Z123" s="441"/>
      <c r="AA123" s="441"/>
      <c r="AB123" s="441"/>
      <c r="AC123" s="441"/>
      <c r="AD123" s="441"/>
      <c r="AE123" s="441"/>
      <c r="AF123" s="441"/>
      <c r="AG123" s="441"/>
      <c r="AH123" s="441"/>
      <c r="AI123" s="441"/>
      <c r="AJ123" s="441"/>
      <c r="AK123" s="441"/>
      <c r="AL123" s="441"/>
      <c r="AM123" s="441"/>
      <c r="AN123" s="441"/>
      <c r="AO123" s="441"/>
      <c r="AP123" s="441"/>
      <c r="AQ123" s="441"/>
      <c r="AR123" s="441"/>
      <c r="AS123" s="441"/>
      <c r="AT123" s="441"/>
      <c r="AU123" s="441"/>
      <c r="AV123" s="441"/>
      <c r="AW123" s="441"/>
      <c r="AX123" s="441"/>
      <c r="AY123" s="441"/>
      <c r="AZ123" s="441"/>
      <c r="BA123" s="441"/>
      <c r="BB123" s="441"/>
      <c r="BC123" s="441"/>
      <c r="BD123" s="441"/>
      <c r="BE123" s="186"/>
      <c r="BF123" s="1468">
        <f ca="1">INDIRECT(ADDRESS(ROW(BF123),111+$BF$28))</f>
        <v>60</v>
      </c>
      <c r="BG123" s="1228">
        <f>IF(BF123=60,"",INDEX('技能'!$B$12:$B$70,BF123))</f>
      </c>
      <c r="BH123" s="1228"/>
      <c r="BI123" s="1228"/>
      <c r="BJ123" s="1228"/>
      <c r="BK123" s="1228"/>
      <c r="BL123" s="1228"/>
      <c r="BM123" s="1228"/>
      <c r="BN123" s="1228"/>
      <c r="BO123" s="1228"/>
      <c r="BP123" s="1228"/>
      <c r="BQ123" s="1228"/>
      <c r="BR123" s="1228"/>
      <c r="BS123" s="1228"/>
      <c r="BT123" s="1228"/>
      <c r="BU123" s="1228"/>
      <c r="BV123" s="1228"/>
      <c r="BW123" s="1228"/>
      <c r="BX123" s="1228"/>
      <c r="BY123" s="1228"/>
      <c r="BZ123" s="1230">
        <f>IF(BF123=60,"",INDEX('技能'!$D$12:$D$70,BF123))</f>
      </c>
      <c r="CA123" s="1230"/>
      <c r="CB123" s="1230"/>
      <c r="CC123" s="431">
        <f>IF(BF123=60,"",IF(INDEX('技能'!$P$12:$P$70,BF123)=0,"*",""))</f>
      </c>
      <c r="CD123" s="1202">
        <f>IF(BF123=60,"",IF(BZ123="なし","―",INDEX('技能'!$E$12:$E$70,BF123)))</f>
      </c>
      <c r="CE123" s="1202"/>
      <c r="CF123" s="1202"/>
      <c r="CG123" s="1202"/>
      <c r="CH123" s="1204" t="s">
        <v>213</v>
      </c>
      <c r="CI123" s="1227">
        <f>IF(BF123=60,"",IF(BZ123="なし","―",INDEX('技能'!$F$12:$F$70,BF123)))</f>
      </c>
      <c r="CJ123" s="1227"/>
      <c r="CK123" s="1227"/>
      <c r="CL123" s="1204" t="s">
        <v>214</v>
      </c>
      <c r="CM123" s="1218">
        <f>IF(BF123=60,"",IF(INDEX('技能'!$G$12:$G$70,BF123)&lt;&gt;0,INDEX('技能'!$O$12:$O$70,BF123)&amp;"#",INDEX('技能'!$O$12:$O$70,BF123)))</f>
      </c>
      <c r="CN123" s="1218"/>
      <c r="CO123" s="1218"/>
      <c r="CP123" s="1204"/>
      <c r="CQ123" s="1220">
        <f>IF(BF123=60,"",IF(LEN(CX124)&lt;=14,CX124,CONCATENATE(IF(SUM(CX123:DD123)&gt;=0,"+",""),SUM(CX123:DD123),"(Total)")))</f>
      </c>
      <c r="CR123" s="1221"/>
      <c r="CS123" s="1221"/>
      <c r="CT123" s="1221"/>
      <c r="CU123" s="1221"/>
      <c r="CV123" s="1221"/>
      <c r="CW123" s="1221"/>
      <c r="CX123" s="186">
        <f>INDEX('技能'!$J$12:$J$71,' 印刷'!BF123)</f>
        <v>0</v>
      </c>
      <c r="CY123" s="186">
        <f>INDEX('技能'!$K$12:$K$71,BF123)</f>
        <v>0</v>
      </c>
      <c r="CZ123" s="186">
        <f>INDEX('技能'!$L$12:$L$71,BF123)</f>
        <v>0</v>
      </c>
      <c r="DA123" s="186">
        <f>INDEX('技能'!$M$12:$M$71,BF123)</f>
        <v>0</v>
      </c>
      <c r="DB123" s="186">
        <f>INDEX('技能'!$I$12:$I$71,BF123)</f>
        <v>0</v>
      </c>
      <c r="DC123" s="186">
        <f>INDEX('技能'!$H$12:$H$71,BF123)</f>
        <v>0</v>
      </c>
      <c r="DD123" s="186">
        <f>INDEX('技能'!$G$12:$G$71,BF123)</f>
        <v>0</v>
      </c>
      <c r="DE123" s="186">
        <f>INDEX('技能'!$P$12:$P$71,BF123)</f>
        <v>0</v>
      </c>
      <c r="DF123" s="351">
        <f>INDEX('技能'!$N$12:$N$71,BF123)</f>
        <v>0</v>
      </c>
      <c r="DH123" s="1197">
        <v>60</v>
      </c>
      <c r="DI123" s="1194">
        <v>1</v>
      </c>
      <c r="DJ123" s="1688"/>
      <c r="DK123" s="1688"/>
    </row>
    <row r="124" spans="1:115" ht="10.5" customHeight="1">
      <c r="A124" s="1253" t="s">
        <v>713</v>
      </c>
      <c r="B124" s="1254"/>
      <c r="C124" s="1254"/>
      <c r="D124" s="1254"/>
      <c r="E124" s="1254"/>
      <c r="F124" s="1254"/>
      <c r="G124" s="1254"/>
      <c r="H124" s="1254"/>
      <c r="I124" s="1254"/>
      <c r="J124" s="1254"/>
      <c r="K124" s="1254"/>
      <c r="L124" s="1254"/>
      <c r="M124" s="1254"/>
      <c r="N124" s="1254"/>
      <c r="O124" s="1254"/>
      <c r="P124" s="1254"/>
      <c r="Q124" s="1255"/>
      <c r="R124" s="469"/>
      <c r="S124" s="469"/>
      <c r="T124" s="469"/>
      <c r="U124" s="469"/>
      <c r="V124" s="469"/>
      <c r="W124" s="469"/>
      <c r="X124" s="469"/>
      <c r="Y124" s="469"/>
      <c r="Z124" s="469"/>
      <c r="AA124" s="469"/>
      <c r="AB124" s="469"/>
      <c r="AC124" s="469"/>
      <c r="AD124" s="469"/>
      <c r="AE124" s="469"/>
      <c r="AF124" s="469"/>
      <c r="AG124" s="469"/>
      <c r="AH124" s="469"/>
      <c r="AI124" s="469"/>
      <c r="AJ124" s="469"/>
      <c r="AK124" s="469"/>
      <c r="AL124" s="469"/>
      <c r="AM124" s="469"/>
      <c r="AN124" s="469"/>
      <c r="AO124" s="469"/>
      <c r="AP124" s="469"/>
      <c r="AQ124" s="469"/>
      <c r="AR124" s="469"/>
      <c r="AS124" s="469"/>
      <c r="AT124" s="469"/>
      <c r="AU124" s="469"/>
      <c r="AV124" s="469"/>
      <c r="AW124" s="469"/>
      <c r="AX124" s="469"/>
      <c r="AY124" s="469"/>
      <c r="AZ124" s="469"/>
      <c r="BA124" s="469"/>
      <c r="BB124" s="469"/>
      <c r="BC124" s="469"/>
      <c r="BD124" s="469"/>
      <c r="BE124" s="186"/>
      <c r="BF124" s="1468"/>
      <c r="BG124" s="1229"/>
      <c r="BH124" s="1229"/>
      <c r="BI124" s="1229"/>
      <c r="BJ124" s="1229"/>
      <c r="BK124" s="1229"/>
      <c r="BL124" s="1229"/>
      <c r="BM124" s="1229"/>
      <c r="BN124" s="1229"/>
      <c r="BO124" s="1229"/>
      <c r="BP124" s="1229"/>
      <c r="BQ124" s="1229"/>
      <c r="BR124" s="1229"/>
      <c r="BS124" s="1229"/>
      <c r="BT124" s="1229"/>
      <c r="BU124" s="1229"/>
      <c r="BV124" s="1229"/>
      <c r="BW124" s="1229"/>
      <c r="BX124" s="1229"/>
      <c r="BY124" s="1229"/>
      <c r="BZ124" s="1231"/>
      <c r="CA124" s="1231"/>
      <c r="CB124" s="1231"/>
      <c r="CC124" s="431"/>
      <c r="CD124" s="1203"/>
      <c r="CE124" s="1203"/>
      <c r="CF124" s="1203"/>
      <c r="CG124" s="1203"/>
      <c r="CH124" s="1204"/>
      <c r="CI124" s="1201"/>
      <c r="CJ124" s="1201"/>
      <c r="CK124" s="1201"/>
      <c r="CL124" s="1204"/>
      <c r="CM124" s="1219"/>
      <c r="CN124" s="1219"/>
      <c r="CO124" s="1219"/>
      <c r="CP124" s="1204"/>
      <c r="CQ124" s="1222"/>
      <c r="CR124" s="1222"/>
      <c r="CS124" s="1222"/>
      <c r="CT124" s="1222"/>
      <c r="CU124" s="1222"/>
      <c r="CV124" s="1222"/>
      <c r="CW124" s="1222"/>
      <c r="CX124" s="186">
        <f>CONCATENATE(IF(CX123&lt;&gt;0,CONCATENATE(IF(CX123&gt;0,"+",""),CX123,"Env."),""),IF(CY123&lt;&gt;0,CONCATENATE(IF(CY123&gt;0,"+",""),CY123,"Misc"),""),IF(CZ123&lt;&gt;0,CONCATENATE(IF(CZ123&gt;0,"+",""),CZ123,"Size"),""),IF(DA123&lt;&gt;0,CONCATENATE(IF(DA123&gt;0,"+",""),DA123,"Race"),""),IF(DB123&lt;&gt;0,CONCATENATE(IF(DB123&gt;0,"+",""),DB123,"Cmp."),""),IF(DC123&lt;&gt;0,CONCATENATE(IF(DC123&gt;0,"+",""),DC123),""),IF(DE123="-","",IF(DE123=0,"",CONCATENATE(DE123,"ACP"))))</f>
      </c>
      <c r="CY124" s="186"/>
      <c r="CZ124" s="186"/>
      <c r="DA124" s="186"/>
      <c r="DB124" s="186"/>
      <c r="DH124" s="1197"/>
      <c r="DI124" s="1194"/>
      <c r="DJ124" s="1688"/>
      <c r="DK124" s="1688"/>
    </row>
    <row r="125" spans="1:115" ht="10.5" customHeight="1" thickBot="1">
      <c r="A125" s="1256"/>
      <c r="B125" s="1257"/>
      <c r="C125" s="1257"/>
      <c r="D125" s="1257"/>
      <c r="E125" s="1257"/>
      <c r="F125" s="1257"/>
      <c r="G125" s="1257"/>
      <c r="H125" s="1257"/>
      <c r="I125" s="1257"/>
      <c r="J125" s="1257"/>
      <c r="K125" s="1257"/>
      <c r="L125" s="1257"/>
      <c r="M125" s="1257"/>
      <c r="N125" s="1257"/>
      <c r="O125" s="1257"/>
      <c r="P125" s="1257"/>
      <c r="Q125" s="1257"/>
      <c r="R125" s="1525" t="s">
        <v>0</v>
      </c>
      <c r="S125" s="1525"/>
      <c r="T125" s="1525"/>
      <c r="U125" s="1525"/>
      <c r="V125" s="1525"/>
      <c r="W125" s="1525"/>
      <c r="X125" s="1525"/>
      <c r="Y125" s="1525"/>
      <c r="Z125" s="1525"/>
      <c r="AA125" s="1525"/>
      <c r="AB125" s="1525"/>
      <c r="AC125" s="1605" t="s">
        <v>714</v>
      </c>
      <c r="AD125" s="1525"/>
      <c r="AE125" s="1525"/>
      <c r="AF125" s="1525"/>
      <c r="AG125" s="1525"/>
      <c r="AH125" s="1525"/>
      <c r="AI125" s="1525"/>
      <c r="AJ125" s="1525"/>
      <c r="AK125" s="1525"/>
      <c r="AL125" s="1525"/>
      <c r="AM125" s="1525"/>
      <c r="AN125" s="1525"/>
      <c r="AO125" s="1606"/>
      <c r="AP125" s="1525" t="s">
        <v>709</v>
      </c>
      <c r="AQ125" s="1525"/>
      <c r="AR125" s="1525"/>
      <c r="AS125" s="1525"/>
      <c r="AT125" s="1525"/>
      <c r="AU125" s="1525"/>
      <c r="AV125" s="1525"/>
      <c r="AW125" s="1525"/>
      <c r="AX125" s="1525"/>
      <c r="AY125" s="1525"/>
      <c r="AZ125" s="1525"/>
      <c r="BA125" s="1525"/>
      <c r="BB125" s="1525"/>
      <c r="BC125" s="1525"/>
      <c r="BD125" s="1525"/>
      <c r="BE125" s="213"/>
      <c r="BF125" s="1468">
        <f ca="1">INDIRECT(ADDRESS(ROW(BF125),111+$BF$28))</f>
        <v>60</v>
      </c>
      <c r="BG125" s="1228">
        <f>IF(BF125=60,"",INDEX('技能'!$B$12:$B$70,BF125))</f>
      </c>
      <c r="BH125" s="1228"/>
      <c r="BI125" s="1228"/>
      <c r="BJ125" s="1228"/>
      <c r="BK125" s="1228"/>
      <c r="BL125" s="1228"/>
      <c r="BM125" s="1228"/>
      <c r="BN125" s="1228"/>
      <c r="BO125" s="1228"/>
      <c r="BP125" s="1228"/>
      <c r="BQ125" s="1228"/>
      <c r="BR125" s="1228"/>
      <c r="BS125" s="1228"/>
      <c r="BT125" s="1228"/>
      <c r="BU125" s="1228"/>
      <c r="BV125" s="1228"/>
      <c r="BW125" s="1228"/>
      <c r="BX125" s="1228"/>
      <c r="BY125" s="1228"/>
      <c r="BZ125" s="1230">
        <f>IF(BF125=60,"",INDEX('技能'!$D$12:$D$70,BF125))</f>
      </c>
      <c r="CA125" s="1230"/>
      <c r="CB125" s="1230"/>
      <c r="CC125" s="431">
        <f>IF(BF125=60,"",IF(INDEX('技能'!$P$12:$P$70,BF125)=0,"*",""))</f>
      </c>
      <c r="CD125" s="1202">
        <f>IF(BF125=60,"",IF(BZ125="なし","―",INDEX('技能'!$E$12:$E$70,BF125)))</f>
      </c>
      <c r="CE125" s="1202"/>
      <c r="CF125" s="1202"/>
      <c r="CG125" s="1202"/>
      <c r="CH125" s="1204" t="s">
        <v>213</v>
      </c>
      <c r="CI125" s="1227">
        <f>IF(BF125=60,"",IF(BZ125="なし","―",INDEX('技能'!$F$12:$F$70,BF125)))</f>
      </c>
      <c r="CJ125" s="1227"/>
      <c r="CK125" s="1227"/>
      <c r="CL125" s="1204" t="s">
        <v>214</v>
      </c>
      <c r="CM125" s="1218">
        <f>IF(BF125=60,"",IF(INDEX('技能'!$G$12:$G$70,BF125)&lt;&gt;0,INDEX('技能'!$O$12:$O$70,BF125)&amp;"#",INDEX('技能'!$O$12:$O$70,BF125)))</f>
      </c>
      <c r="CN125" s="1218"/>
      <c r="CO125" s="1218"/>
      <c r="CP125" s="1204"/>
      <c r="CQ125" s="1220">
        <f>IF(BF125=60,"",IF(LEN(CX126)&lt;=14,CX126,CONCATENATE(IF(SUM(CX125:DD125)&gt;=0,"+",""),SUM(CX125:DD125),"(Total)")))</f>
      </c>
      <c r="CR125" s="1221"/>
      <c r="CS125" s="1221"/>
      <c r="CT125" s="1221"/>
      <c r="CU125" s="1221"/>
      <c r="CV125" s="1221"/>
      <c r="CW125" s="1221"/>
      <c r="CX125" s="186">
        <f>INDEX('技能'!$J$12:$J$71,' 印刷'!BF125)</f>
        <v>0</v>
      </c>
      <c r="CY125" s="186">
        <f>INDEX('技能'!$K$12:$K$71,BF125)</f>
        <v>0</v>
      </c>
      <c r="CZ125" s="186">
        <f>INDEX('技能'!$L$12:$L$71,BF125)</f>
        <v>0</v>
      </c>
      <c r="DA125" s="186">
        <f>INDEX('技能'!$M$12:$M$71,BF125)</f>
        <v>0</v>
      </c>
      <c r="DB125" s="186">
        <f>INDEX('技能'!$I$12:$I$71,BF125)</f>
        <v>0</v>
      </c>
      <c r="DC125" s="186">
        <f>INDEX('技能'!$H$12:$H$71,BF125)</f>
        <v>0</v>
      </c>
      <c r="DD125" s="186">
        <f>INDEX('技能'!$G$12:$G$71,BF125)</f>
        <v>0</v>
      </c>
      <c r="DE125" s="186">
        <f>INDEX('技能'!$P$12:$P$71,BF125)</f>
        <v>0</v>
      </c>
      <c r="DF125" s="351">
        <f>INDEX('技能'!$N$12:$N$71,BF125)</f>
        <v>0</v>
      </c>
      <c r="DH125" s="1197">
        <v>60</v>
      </c>
      <c r="DI125" s="1194">
        <v>11</v>
      </c>
      <c r="DJ125" s="1688"/>
      <c r="DK125" s="1688"/>
    </row>
    <row r="126" spans="1:115" ht="10.5" customHeight="1">
      <c r="A126" s="1715">
        <f>IF('装備'!C13=0,"",'装備'!C13)</f>
      </c>
      <c r="B126" s="1716"/>
      <c r="C126" s="1716"/>
      <c r="D126" s="1716"/>
      <c r="E126" s="1716"/>
      <c r="F126" s="1716"/>
      <c r="G126" s="1716"/>
      <c r="H126" s="1716"/>
      <c r="I126" s="1716"/>
      <c r="J126" s="1716"/>
      <c r="K126" s="1716"/>
      <c r="L126" s="1716"/>
      <c r="M126" s="1716"/>
      <c r="N126" s="1716"/>
      <c r="O126" s="1716"/>
      <c r="P126" s="1716"/>
      <c r="Q126" s="1717"/>
      <c r="R126" s="1709"/>
      <c r="S126" s="1710"/>
      <c r="T126" s="1710"/>
      <c r="U126" s="1710"/>
      <c r="V126" s="1710"/>
      <c r="W126" s="1710"/>
      <c r="X126" s="1710"/>
      <c r="Y126" s="1710"/>
      <c r="Z126" s="1710"/>
      <c r="AA126" s="1710"/>
      <c r="AB126" s="1711"/>
      <c r="AC126" s="1600">
        <f>IF('装備'!C13=0,"",CONCATENATE("+",'装備'!P13))</f>
      </c>
      <c r="AD126" s="1600"/>
      <c r="AE126" s="1600"/>
      <c r="AF126" s="1600"/>
      <c r="AG126" s="1600"/>
      <c r="AH126" s="1600"/>
      <c r="AI126" s="1600"/>
      <c r="AJ126" s="1600"/>
      <c r="AK126" s="1600"/>
      <c r="AL126" s="1600"/>
      <c r="AM126" s="1600"/>
      <c r="AN126" s="1600"/>
      <c r="AO126" s="1600"/>
      <c r="AP126" s="1600">
        <f>IF('装備'!C13=0,"",IF('装備'!Q13&gt;999,"なし",CONCATENATE("+",'装備'!Q13)))</f>
      </c>
      <c r="AQ126" s="1600"/>
      <c r="AR126" s="1600"/>
      <c r="AS126" s="1600"/>
      <c r="AT126" s="1600"/>
      <c r="AU126" s="1600"/>
      <c r="AV126" s="1600"/>
      <c r="AW126" s="1600"/>
      <c r="AX126" s="1600"/>
      <c r="AY126" s="1600"/>
      <c r="AZ126" s="1600"/>
      <c r="BA126" s="1600"/>
      <c r="BB126" s="1600"/>
      <c r="BC126" s="1600"/>
      <c r="BD126" s="1600"/>
      <c r="BE126" s="186"/>
      <c r="BF126" s="1468"/>
      <c r="BG126" s="1229"/>
      <c r="BH126" s="1229"/>
      <c r="BI126" s="1229"/>
      <c r="BJ126" s="1229"/>
      <c r="BK126" s="1229"/>
      <c r="BL126" s="1229"/>
      <c r="BM126" s="1229"/>
      <c r="BN126" s="1229"/>
      <c r="BO126" s="1229"/>
      <c r="BP126" s="1229"/>
      <c r="BQ126" s="1229"/>
      <c r="BR126" s="1229"/>
      <c r="BS126" s="1229"/>
      <c r="BT126" s="1229"/>
      <c r="BU126" s="1229"/>
      <c r="BV126" s="1229"/>
      <c r="BW126" s="1229"/>
      <c r="BX126" s="1229"/>
      <c r="BY126" s="1229"/>
      <c r="BZ126" s="1231"/>
      <c r="CA126" s="1231"/>
      <c r="CB126" s="1231"/>
      <c r="CC126" s="431"/>
      <c r="CD126" s="1203"/>
      <c r="CE126" s="1203"/>
      <c r="CF126" s="1203"/>
      <c r="CG126" s="1203"/>
      <c r="CH126" s="1204"/>
      <c r="CI126" s="1201"/>
      <c r="CJ126" s="1201"/>
      <c r="CK126" s="1201"/>
      <c r="CL126" s="1204"/>
      <c r="CM126" s="1219"/>
      <c r="CN126" s="1219"/>
      <c r="CO126" s="1219"/>
      <c r="CP126" s="1204"/>
      <c r="CQ126" s="1222"/>
      <c r="CR126" s="1222"/>
      <c r="CS126" s="1222"/>
      <c r="CT126" s="1222"/>
      <c r="CU126" s="1222"/>
      <c r="CV126" s="1222"/>
      <c r="CW126" s="1222"/>
      <c r="CX126" s="186">
        <f>CONCATENATE(IF(CX125&lt;&gt;0,CONCATENATE(IF(CX125&gt;0,"+",""),CX125,"Env."),""),IF(CY125&lt;&gt;0,CONCATENATE(IF(CY125&gt;0,"+",""),CY125,"Misc"),""),IF(CZ125&lt;&gt;0,CONCATENATE(IF(CZ125&gt;0,"+",""),CZ125,"Size"),""),IF(DA125&lt;&gt;0,CONCATENATE(IF(DA125&gt;0,"+",""),DA125,"Race"),""),IF(DB125&lt;&gt;0,CONCATENATE(IF(DB125&gt;0,"+",""),DB125,"Cmp."),""),IF(DC125&lt;&gt;0,CONCATENATE(IF(DC125&gt;0,"+",""),DC125),""),IF(DE125="-","",IF(DE125=0,"",CONCATENATE(DE125,"ACP"))))</f>
      </c>
      <c r="CY126" s="186"/>
      <c r="CZ126" s="186"/>
      <c r="DA126" s="186"/>
      <c r="DB126" s="186"/>
      <c r="DH126" s="1197"/>
      <c r="DI126" s="1194"/>
      <c r="DJ126" s="1688"/>
      <c r="DK126" s="1688"/>
    </row>
    <row r="127" spans="1:115" ht="10.5" customHeight="1" thickBot="1">
      <c r="A127" s="1718"/>
      <c r="B127" s="1719"/>
      <c r="C127" s="1719"/>
      <c r="D127" s="1719"/>
      <c r="E127" s="1719"/>
      <c r="F127" s="1719"/>
      <c r="G127" s="1719"/>
      <c r="H127" s="1719"/>
      <c r="I127" s="1719"/>
      <c r="J127" s="1719"/>
      <c r="K127" s="1719"/>
      <c r="L127" s="1719"/>
      <c r="M127" s="1719"/>
      <c r="N127" s="1719"/>
      <c r="O127" s="1719"/>
      <c r="P127" s="1719"/>
      <c r="Q127" s="1720"/>
      <c r="R127" s="1712"/>
      <c r="S127" s="1713"/>
      <c r="T127" s="1713"/>
      <c r="U127" s="1713"/>
      <c r="V127" s="1713"/>
      <c r="W127" s="1713"/>
      <c r="X127" s="1713"/>
      <c r="Y127" s="1713"/>
      <c r="Z127" s="1713"/>
      <c r="AA127" s="1713"/>
      <c r="AB127" s="1714"/>
      <c r="AC127" s="1601"/>
      <c r="AD127" s="1601"/>
      <c r="AE127" s="1601"/>
      <c r="AF127" s="1601"/>
      <c r="AG127" s="1601"/>
      <c r="AH127" s="1601"/>
      <c r="AI127" s="1601"/>
      <c r="AJ127" s="1601"/>
      <c r="AK127" s="1601"/>
      <c r="AL127" s="1601"/>
      <c r="AM127" s="1601"/>
      <c r="AN127" s="1601"/>
      <c r="AO127" s="1601"/>
      <c r="AP127" s="1601"/>
      <c r="AQ127" s="1601"/>
      <c r="AR127" s="1601"/>
      <c r="AS127" s="1601"/>
      <c r="AT127" s="1601"/>
      <c r="AU127" s="1601"/>
      <c r="AV127" s="1601"/>
      <c r="AW127" s="1601"/>
      <c r="AX127" s="1601"/>
      <c r="AY127" s="1601"/>
      <c r="AZ127" s="1601"/>
      <c r="BA127" s="1601"/>
      <c r="BB127" s="1601"/>
      <c r="BC127" s="1601"/>
      <c r="BD127" s="1601"/>
      <c r="BE127" s="186"/>
      <c r="BF127" s="1468">
        <f ca="1">INDIRECT(ADDRESS(ROW(BF127),111+$BF$28))</f>
        <v>60</v>
      </c>
      <c r="BG127" s="1228">
        <f>IF(BF127=60,"",INDEX('技能'!$B$12:$B$70,BF127))</f>
      </c>
      <c r="BH127" s="1228"/>
      <c r="BI127" s="1228"/>
      <c r="BJ127" s="1228"/>
      <c r="BK127" s="1228"/>
      <c r="BL127" s="1228"/>
      <c r="BM127" s="1228"/>
      <c r="BN127" s="1228"/>
      <c r="BO127" s="1228"/>
      <c r="BP127" s="1228"/>
      <c r="BQ127" s="1228"/>
      <c r="BR127" s="1228"/>
      <c r="BS127" s="1228"/>
      <c r="BT127" s="1228"/>
      <c r="BU127" s="1228"/>
      <c r="BV127" s="1228"/>
      <c r="BW127" s="1228"/>
      <c r="BX127" s="1228"/>
      <c r="BY127" s="1228"/>
      <c r="BZ127" s="1230">
        <f>IF(BF127=60,"",INDEX('技能'!$D$12:$D$70,BF127))</f>
      </c>
      <c r="CA127" s="1230"/>
      <c r="CB127" s="1230"/>
      <c r="CC127" s="431">
        <f>IF(BF127=60,"",IF(INDEX('技能'!$P$12:$P$70,BF127)=0,"*",""))</f>
      </c>
      <c r="CD127" s="1202">
        <f>IF(BF127=60,"",IF(BZ127="なし","―",INDEX('技能'!$E$12:$E$70,BF127)))</f>
      </c>
      <c r="CE127" s="1202"/>
      <c r="CF127" s="1202"/>
      <c r="CG127" s="1202"/>
      <c r="CH127" s="1204" t="s">
        <v>213</v>
      </c>
      <c r="CI127" s="1227">
        <f>IF(BF127=60,"",IF(BZ127="なし","―",INDEX('技能'!$F$12:$F$70,BF127)))</f>
      </c>
      <c r="CJ127" s="1227"/>
      <c r="CK127" s="1227"/>
      <c r="CL127" s="1204" t="s">
        <v>214</v>
      </c>
      <c r="CM127" s="1218">
        <f>IF(BF127=60,"",IF(INDEX('技能'!$G$12:$G$70,BF127)&lt;&gt;0,INDEX('技能'!$O$12:$O$70,BF127)&amp;"#",INDEX('技能'!$O$12:$O$70,BF127)))</f>
      </c>
      <c r="CN127" s="1218"/>
      <c r="CO127" s="1218"/>
      <c r="CP127" s="1204"/>
      <c r="CQ127" s="1220">
        <f>IF(BF127=60,"",IF(LEN(CX128)&lt;=14,CX128,CONCATENATE(IF(SUM(CX127:DD127)&gt;=0,"+",""),SUM(CX127:DD127),"(Total)")))</f>
      </c>
      <c r="CR127" s="1221"/>
      <c r="CS127" s="1221"/>
      <c r="CT127" s="1221"/>
      <c r="CU127" s="1221"/>
      <c r="CV127" s="1221"/>
      <c r="CW127" s="1221"/>
      <c r="CX127" s="186">
        <f>INDEX('技能'!$J$12:$J$71,' 印刷'!BF127)</f>
        <v>0</v>
      </c>
      <c r="CY127" s="186">
        <f>INDEX('技能'!$K$12:$K$71,BF127)</f>
        <v>0</v>
      </c>
      <c r="CZ127" s="186">
        <f>INDEX('技能'!$L$12:$L$71,BF127)</f>
        <v>0</v>
      </c>
      <c r="DA127" s="186">
        <f>INDEX('技能'!$M$12:$M$71,BF127)</f>
        <v>0</v>
      </c>
      <c r="DB127" s="186">
        <f>INDEX('技能'!$I$12:$I$71,BF127)</f>
        <v>0</v>
      </c>
      <c r="DC127" s="186">
        <f>INDEX('技能'!$H$12:$H$71,BF127)</f>
        <v>0</v>
      </c>
      <c r="DD127" s="186">
        <f>INDEX('技能'!$G$12:$G$71,BF127)</f>
        <v>0</v>
      </c>
      <c r="DE127" s="186">
        <f>INDEX('技能'!$P$12:$P$71,BF127)</f>
        <v>0</v>
      </c>
      <c r="DF127" s="351">
        <f>INDEX('技能'!$N$12:$N$71,BF127)</f>
        <v>0</v>
      </c>
      <c r="DH127" s="1197">
        <v>60</v>
      </c>
      <c r="DI127" s="1194">
        <v>12</v>
      </c>
      <c r="DJ127" s="1688"/>
      <c r="DK127" s="1688"/>
    </row>
    <row r="128" spans="1:115" ht="10.5" customHeight="1" thickBot="1">
      <c r="A128" s="1530" t="s">
        <v>710</v>
      </c>
      <c r="B128" s="1531"/>
      <c r="C128" s="1531"/>
      <c r="D128" s="1531"/>
      <c r="E128" s="1531"/>
      <c r="F128" s="1531"/>
      <c r="G128" s="1532"/>
      <c r="H128" s="1281" t="s">
        <v>711</v>
      </c>
      <c r="I128" s="1282"/>
      <c r="J128" s="1282"/>
      <c r="K128" s="1282"/>
      <c r="L128" s="1282"/>
      <c r="M128" s="1282"/>
      <c r="N128" s="1283"/>
      <c r="O128" s="1281" t="s">
        <v>712</v>
      </c>
      <c r="P128" s="1282"/>
      <c r="Q128" s="1282"/>
      <c r="R128" s="1282"/>
      <c r="S128" s="1283"/>
      <c r="T128" s="1282" t="s">
        <v>700</v>
      </c>
      <c r="U128" s="1282"/>
      <c r="V128" s="1282"/>
      <c r="W128" s="1282"/>
      <c r="X128" s="1282"/>
      <c r="Y128" s="1282"/>
      <c r="Z128" s="1283"/>
      <c r="AA128" s="1282" t="s">
        <v>703</v>
      </c>
      <c r="AB128" s="1282"/>
      <c r="AC128" s="1282"/>
      <c r="AD128" s="1282"/>
      <c r="AE128" s="1282"/>
      <c r="AF128" s="1282"/>
      <c r="AG128" s="1282"/>
      <c r="AH128" s="1282"/>
      <c r="AI128" s="1282"/>
      <c r="AJ128" s="1282"/>
      <c r="AK128" s="1282"/>
      <c r="AL128" s="1282"/>
      <c r="AM128" s="1282"/>
      <c r="AN128" s="1282"/>
      <c r="AO128" s="1282"/>
      <c r="AP128" s="1282"/>
      <c r="AQ128" s="1282"/>
      <c r="AR128" s="1282"/>
      <c r="AS128" s="1282"/>
      <c r="AT128" s="1282"/>
      <c r="AU128" s="1282"/>
      <c r="AV128" s="1282"/>
      <c r="AW128" s="1282"/>
      <c r="AX128" s="1282"/>
      <c r="AY128" s="1282"/>
      <c r="AZ128" s="1282"/>
      <c r="BA128" s="1282"/>
      <c r="BB128" s="1282"/>
      <c r="BC128" s="1282"/>
      <c r="BD128" s="1282"/>
      <c r="BE128" s="213"/>
      <c r="BF128" s="1468"/>
      <c r="BG128" s="1229"/>
      <c r="BH128" s="1229"/>
      <c r="BI128" s="1229"/>
      <c r="BJ128" s="1229"/>
      <c r="BK128" s="1229"/>
      <c r="BL128" s="1229"/>
      <c r="BM128" s="1229"/>
      <c r="BN128" s="1229"/>
      <c r="BO128" s="1229"/>
      <c r="BP128" s="1229"/>
      <c r="BQ128" s="1229"/>
      <c r="BR128" s="1229"/>
      <c r="BS128" s="1229"/>
      <c r="BT128" s="1229"/>
      <c r="BU128" s="1229"/>
      <c r="BV128" s="1229"/>
      <c r="BW128" s="1229"/>
      <c r="BX128" s="1229"/>
      <c r="BY128" s="1229"/>
      <c r="BZ128" s="1231"/>
      <c r="CA128" s="1231"/>
      <c r="CB128" s="1231"/>
      <c r="CC128" s="431"/>
      <c r="CD128" s="1203"/>
      <c r="CE128" s="1203"/>
      <c r="CF128" s="1203"/>
      <c r="CG128" s="1203"/>
      <c r="CH128" s="1204"/>
      <c r="CI128" s="1201"/>
      <c r="CJ128" s="1201"/>
      <c r="CK128" s="1201"/>
      <c r="CL128" s="1204"/>
      <c r="CM128" s="1219"/>
      <c r="CN128" s="1219"/>
      <c r="CO128" s="1219"/>
      <c r="CP128" s="1204"/>
      <c r="CQ128" s="1222"/>
      <c r="CR128" s="1222"/>
      <c r="CS128" s="1222"/>
      <c r="CT128" s="1222"/>
      <c r="CU128" s="1222"/>
      <c r="CV128" s="1222"/>
      <c r="CW128" s="1222"/>
      <c r="CX128" s="186">
        <f>CONCATENATE(IF(CX127&lt;&gt;0,CONCATENATE(IF(CX127&gt;0,"+",""),CX127,"Env."),""),IF(CY127&lt;&gt;0,CONCATENATE(IF(CY127&gt;0,"+",""),CY127,"Misc"),""),IF(CZ127&lt;&gt;0,CONCATENATE(IF(CZ127&gt;0,"+",""),CZ127,"Size"),""),IF(DA127&lt;&gt;0,CONCATENATE(IF(DA127&gt;0,"+",""),DA127,"Race"),""),IF(DB127&lt;&gt;0,CONCATENATE(IF(DB127&gt;0,"+",""),DB127,"Cmp."),""),IF(DC127&lt;&gt;0,CONCATENATE(IF(DC127&gt;0,"+",""),DC127),""),IF(DE127="-","",IF(DE127=0,"",CONCATENATE(DE127,"ACP"))))</f>
      </c>
      <c r="CY128" s="186"/>
      <c r="CZ128" s="186"/>
      <c r="DA128" s="186"/>
      <c r="DB128" s="186"/>
      <c r="DH128" s="1197"/>
      <c r="DI128" s="1194"/>
      <c r="DJ128" s="1688"/>
      <c r="DK128" s="1688"/>
    </row>
    <row r="129" spans="1:115" ht="10.5" customHeight="1">
      <c r="A129" s="1541">
        <f>IF('装備'!C13=0,"",'装備'!R13)</f>
      </c>
      <c r="B129" s="1541"/>
      <c r="C129" s="1541"/>
      <c r="D129" s="1541"/>
      <c r="E129" s="1541"/>
      <c r="F129" s="1541"/>
      <c r="G129" s="1541"/>
      <c r="H129" s="1545">
        <f>IF('装備'!C13=0,"",'装備'!S13)</f>
      </c>
      <c r="I129" s="1545"/>
      <c r="J129" s="1545"/>
      <c r="K129" s="1545"/>
      <c r="L129" s="1545"/>
      <c r="M129" s="1545"/>
      <c r="N129" s="1545"/>
      <c r="O129" s="1528"/>
      <c r="P129" s="1528"/>
      <c r="Q129" s="1528"/>
      <c r="R129" s="1528"/>
      <c r="S129" s="1528"/>
      <c r="T129" s="1543">
        <f>IF('装備'!C13=0,"",IF('装備'!E13=0,"-",'装備'!E13&amp;" lbs"))</f>
      </c>
      <c r="U129" s="1543"/>
      <c r="V129" s="1543"/>
      <c r="W129" s="1543"/>
      <c r="X129" s="1543"/>
      <c r="Y129" s="1543"/>
      <c r="Z129" s="1543"/>
      <c r="AA129" s="1538">
        <f>IF('装備'!C13=0,"",IF('装備'!T13=0,"",'装備'!T13))</f>
      </c>
      <c r="AB129" s="1538"/>
      <c r="AC129" s="1538"/>
      <c r="AD129" s="1538"/>
      <c r="AE129" s="1538"/>
      <c r="AF129" s="1538"/>
      <c r="AG129" s="1538"/>
      <c r="AH129" s="1538"/>
      <c r="AI129" s="1538"/>
      <c r="AJ129" s="1538"/>
      <c r="AK129" s="1538"/>
      <c r="AL129" s="1538"/>
      <c r="AM129" s="1538"/>
      <c r="AN129" s="1538"/>
      <c r="AO129" s="1538"/>
      <c r="AP129" s="1538"/>
      <c r="AQ129" s="1538"/>
      <c r="AR129" s="1538"/>
      <c r="AS129" s="1538"/>
      <c r="AT129" s="1538"/>
      <c r="AU129" s="1538"/>
      <c r="AV129" s="1538"/>
      <c r="AW129" s="1538"/>
      <c r="AX129" s="1538"/>
      <c r="AY129" s="1538"/>
      <c r="AZ129" s="1538"/>
      <c r="BA129" s="1538"/>
      <c r="BB129" s="1538"/>
      <c r="BC129" s="1538"/>
      <c r="BD129" s="1538"/>
      <c r="BE129" s="186"/>
      <c r="BF129" s="1468">
        <f ca="1">INDIRECT(ADDRESS(ROW(BF129),111+$BF$28))</f>
        <v>60</v>
      </c>
      <c r="BG129" s="1228">
        <f>IF(BF129=60,"",INDEX('技能'!$B$12:$B$70,BF129))</f>
      </c>
      <c r="BH129" s="1228"/>
      <c r="BI129" s="1228"/>
      <c r="BJ129" s="1228"/>
      <c r="BK129" s="1228"/>
      <c r="BL129" s="1228"/>
      <c r="BM129" s="1228"/>
      <c r="BN129" s="1228"/>
      <c r="BO129" s="1228"/>
      <c r="BP129" s="1228"/>
      <c r="BQ129" s="1228"/>
      <c r="BR129" s="1228"/>
      <c r="BS129" s="1228"/>
      <c r="BT129" s="1228"/>
      <c r="BU129" s="1228"/>
      <c r="BV129" s="1228"/>
      <c r="BW129" s="1228"/>
      <c r="BX129" s="1228"/>
      <c r="BY129" s="1228"/>
      <c r="BZ129" s="1230">
        <f>IF(BF129=60,"",INDEX('技能'!$D$12:$D$70,BF129))</f>
      </c>
      <c r="CA129" s="1230"/>
      <c r="CB129" s="1230"/>
      <c r="CC129" s="431">
        <f>IF(BF129=60,"",IF(INDEX('技能'!$P$12:$P$70,BF129)=0,"*",""))</f>
      </c>
      <c r="CD129" s="1202">
        <f>IF(BF129=60,"",IF(BZ129="なし","―",INDEX('技能'!$E$12:$E$70,BF129)))</f>
      </c>
      <c r="CE129" s="1202"/>
      <c r="CF129" s="1202"/>
      <c r="CG129" s="1202"/>
      <c r="CH129" s="1204" t="s">
        <v>213</v>
      </c>
      <c r="CI129" s="1227">
        <f>IF(BF129=60,"",IF(BZ129="なし","―",INDEX('技能'!$F$12:$F$70,BF129)))</f>
      </c>
      <c r="CJ129" s="1227"/>
      <c r="CK129" s="1227"/>
      <c r="CL129" s="1204" t="s">
        <v>214</v>
      </c>
      <c r="CM129" s="1218">
        <f>IF(BF129=60,"",IF(INDEX('技能'!$G$12:$G$70,BF129)&lt;&gt;0,INDEX('技能'!$O$12:$O$70,BF129)&amp;"#",INDEX('技能'!$O$12:$O$70,BF129)))</f>
      </c>
      <c r="CN129" s="1218"/>
      <c r="CO129" s="1218"/>
      <c r="CP129" s="1204"/>
      <c r="CQ129" s="1220">
        <f>IF(BF129=60,"",IF(LEN(CX130)&lt;=14,CX130,CONCATENATE(IF(SUM(CX129:DD129)&gt;=0,"+",""),SUM(CX129:DD129),"(Total)")))</f>
      </c>
      <c r="CR129" s="1221"/>
      <c r="CS129" s="1221"/>
      <c r="CT129" s="1221"/>
      <c r="CU129" s="1221"/>
      <c r="CV129" s="1221"/>
      <c r="CW129" s="1221"/>
      <c r="CX129" s="186">
        <f>INDEX('技能'!$J$12:$J$71,' 印刷'!BF129)</f>
        <v>0</v>
      </c>
      <c r="CY129" s="186">
        <f>INDEX('技能'!$K$12:$K$71,BF129)</f>
        <v>0</v>
      </c>
      <c r="CZ129" s="186">
        <f>INDEX('技能'!$L$12:$L$71,BF129)</f>
        <v>0</v>
      </c>
      <c r="DA129" s="186">
        <f>INDEX('技能'!$M$12:$M$71,BF129)</f>
        <v>0</v>
      </c>
      <c r="DB129" s="186">
        <f>INDEX('技能'!$I$12:$I$71,BF129)</f>
        <v>0</v>
      </c>
      <c r="DC129" s="186">
        <f>INDEX('技能'!$H$12:$H$71,BF129)</f>
        <v>0</v>
      </c>
      <c r="DD129" s="186">
        <f>INDEX('技能'!$G$12:$G$71,BF129)</f>
        <v>0</v>
      </c>
      <c r="DE129" s="186">
        <f>INDEX('技能'!$P$12:$P$71,BF129)</f>
        <v>0</v>
      </c>
      <c r="DF129" s="351">
        <f>INDEX('技能'!$N$12:$N$71,BF129)</f>
        <v>0</v>
      </c>
      <c r="DH129" s="1197">
        <v>60</v>
      </c>
      <c r="DI129" s="1194">
        <v>13</v>
      </c>
      <c r="DJ129" s="1688"/>
      <c r="DK129" s="1688"/>
    </row>
    <row r="130" spans="1:115" ht="10.5" customHeight="1" thickBot="1">
      <c r="A130" s="1542"/>
      <c r="B130" s="1542"/>
      <c r="C130" s="1542"/>
      <c r="D130" s="1542"/>
      <c r="E130" s="1542"/>
      <c r="F130" s="1542"/>
      <c r="G130" s="1542"/>
      <c r="H130" s="1546"/>
      <c r="I130" s="1546"/>
      <c r="J130" s="1546"/>
      <c r="K130" s="1546"/>
      <c r="L130" s="1546"/>
      <c r="M130" s="1546"/>
      <c r="N130" s="1546"/>
      <c r="O130" s="1529"/>
      <c r="P130" s="1529"/>
      <c r="Q130" s="1529"/>
      <c r="R130" s="1529"/>
      <c r="S130" s="1529"/>
      <c r="T130" s="1544"/>
      <c r="U130" s="1544"/>
      <c r="V130" s="1544"/>
      <c r="W130" s="1544"/>
      <c r="X130" s="1544"/>
      <c r="Y130" s="1544"/>
      <c r="Z130" s="1544"/>
      <c r="AA130" s="1539"/>
      <c r="AB130" s="1539"/>
      <c r="AC130" s="1539"/>
      <c r="AD130" s="1539"/>
      <c r="AE130" s="1539"/>
      <c r="AF130" s="1539"/>
      <c r="AG130" s="1539"/>
      <c r="AH130" s="1539"/>
      <c r="AI130" s="1539"/>
      <c r="AJ130" s="1539"/>
      <c r="AK130" s="1539"/>
      <c r="AL130" s="1539"/>
      <c r="AM130" s="1539"/>
      <c r="AN130" s="1539"/>
      <c r="AO130" s="1539"/>
      <c r="AP130" s="1539"/>
      <c r="AQ130" s="1539"/>
      <c r="AR130" s="1539"/>
      <c r="AS130" s="1539"/>
      <c r="AT130" s="1539"/>
      <c r="AU130" s="1539"/>
      <c r="AV130" s="1539"/>
      <c r="AW130" s="1539"/>
      <c r="AX130" s="1539"/>
      <c r="AY130" s="1539"/>
      <c r="AZ130" s="1539"/>
      <c r="BA130" s="1539"/>
      <c r="BB130" s="1539"/>
      <c r="BC130" s="1539"/>
      <c r="BD130" s="1539"/>
      <c r="BE130" s="186"/>
      <c r="BF130" s="1468"/>
      <c r="BG130" s="1229"/>
      <c r="BH130" s="1229"/>
      <c r="BI130" s="1229"/>
      <c r="BJ130" s="1229"/>
      <c r="BK130" s="1229"/>
      <c r="BL130" s="1229"/>
      <c r="BM130" s="1229"/>
      <c r="BN130" s="1229"/>
      <c r="BO130" s="1229"/>
      <c r="BP130" s="1229"/>
      <c r="BQ130" s="1229"/>
      <c r="BR130" s="1229"/>
      <c r="BS130" s="1229"/>
      <c r="BT130" s="1229"/>
      <c r="BU130" s="1229"/>
      <c r="BV130" s="1229"/>
      <c r="BW130" s="1229"/>
      <c r="BX130" s="1229"/>
      <c r="BY130" s="1229"/>
      <c r="BZ130" s="1231"/>
      <c r="CA130" s="1231"/>
      <c r="CB130" s="1231"/>
      <c r="CC130" s="431"/>
      <c r="CD130" s="1203"/>
      <c r="CE130" s="1203"/>
      <c r="CF130" s="1203"/>
      <c r="CG130" s="1203"/>
      <c r="CH130" s="1204"/>
      <c r="CI130" s="1201"/>
      <c r="CJ130" s="1201"/>
      <c r="CK130" s="1201"/>
      <c r="CL130" s="1204"/>
      <c r="CM130" s="1219"/>
      <c r="CN130" s="1219"/>
      <c r="CO130" s="1219"/>
      <c r="CP130" s="1204"/>
      <c r="CQ130" s="1222"/>
      <c r="CR130" s="1222"/>
      <c r="CS130" s="1222"/>
      <c r="CT130" s="1222"/>
      <c r="CU130" s="1222"/>
      <c r="CV130" s="1222"/>
      <c r="CW130" s="1222"/>
      <c r="CX130" s="186">
        <f>CONCATENATE(IF(CX129&lt;&gt;0,CONCATENATE(IF(CX129&gt;0,"+",""),CX129,"Env."),""),IF(CY129&lt;&gt;0,CONCATENATE(IF(CY129&gt;0,"+",""),CY129,"Misc"),""),IF(CZ129&lt;&gt;0,CONCATENATE(IF(CZ129&gt;0,"+",""),CZ129,"Size"),""),IF(DA129&lt;&gt;0,CONCATENATE(IF(DA129&gt;0,"+",""),DA129,"Race"),""),IF(DB129&lt;&gt;0,CONCATENATE(IF(DB129&gt;0,"+",""),DB129,"Cmp."),""),IF(DC129&lt;&gt;0,CONCATENATE(IF(DC129&gt;0,"+",""),DC129),""),IF(DE129="-","",IF(DE129=0,"",CONCATENATE(DE129,"ACP"))))</f>
      </c>
      <c r="CY130" s="186"/>
      <c r="CZ130" s="186"/>
      <c r="DA130" s="186"/>
      <c r="DB130" s="186"/>
      <c r="DH130" s="1197"/>
      <c r="DI130" s="1194"/>
      <c r="DJ130" s="1688"/>
      <c r="DK130" s="1688"/>
    </row>
    <row r="131" spans="1:115" ht="10.5" customHeight="1" thickBot="1">
      <c r="A131" s="441"/>
      <c r="B131" s="441"/>
      <c r="C131" s="441"/>
      <c r="D131" s="441"/>
      <c r="E131" s="441"/>
      <c r="F131" s="441"/>
      <c r="G131" s="441"/>
      <c r="H131" s="441"/>
      <c r="I131" s="441"/>
      <c r="J131" s="441"/>
      <c r="K131" s="441"/>
      <c r="L131" s="441"/>
      <c r="M131" s="441"/>
      <c r="N131" s="441"/>
      <c r="O131" s="441"/>
      <c r="P131" s="441"/>
      <c r="Q131" s="441"/>
      <c r="R131" s="468"/>
      <c r="S131" s="468"/>
      <c r="T131" s="468"/>
      <c r="U131" s="468"/>
      <c r="V131" s="468"/>
      <c r="W131" s="468"/>
      <c r="X131" s="468"/>
      <c r="Y131" s="468"/>
      <c r="Z131" s="468"/>
      <c r="AA131" s="468"/>
      <c r="AB131" s="468"/>
      <c r="AC131" s="468"/>
      <c r="AD131" s="468"/>
      <c r="AE131" s="468"/>
      <c r="AF131" s="468"/>
      <c r="AG131" s="468"/>
      <c r="AH131" s="468"/>
      <c r="AI131" s="468"/>
      <c r="AJ131" s="468"/>
      <c r="AK131" s="468"/>
      <c r="AL131" s="468"/>
      <c r="AM131" s="468"/>
      <c r="AN131" s="468"/>
      <c r="AO131" s="468"/>
      <c r="AP131" s="468"/>
      <c r="AQ131" s="468"/>
      <c r="AR131" s="468"/>
      <c r="AS131" s="468"/>
      <c r="AT131" s="468"/>
      <c r="AU131" s="468"/>
      <c r="AV131" s="468"/>
      <c r="AW131" s="468"/>
      <c r="AX131" s="468"/>
      <c r="AY131" s="468"/>
      <c r="AZ131" s="468"/>
      <c r="BA131" s="468"/>
      <c r="BB131" s="468"/>
      <c r="BC131" s="468"/>
      <c r="BD131" s="468"/>
      <c r="BE131" s="186"/>
      <c r="BF131" s="1468">
        <f ca="1">INDIRECT(ADDRESS(ROW(BF131),111+$BF$28))</f>
        <v>0</v>
      </c>
      <c r="BG131" s="541"/>
      <c r="BH131" s="541"/>
      <c r="BI131" s="541"/>
      <c r="BJ131" s="541"/>
      <c r="BK131" s="541"/>
      <c r="BL131" s="541"/>
      <c r="BM131" s="541"/>
      <c r="BN131" s="541"/>
      <c r="BO131" s="541"/>
      <c r="BP131" s="541"/>
      <c r="BQ131" s="541"/>
      <c r="BR131" s="541"/>
      <c r="BS131" s="541"/>
      <c r="BT131" s="541"/>
      <c r="BU131" s="541"/>
      <c r="BV131" s="541"/>
      <c r="BW131" s="541"/>
      <c r="BX131" s="541"/>
      <c r="BY131" s="541"/>
      <c r="BZ131" s="543"/>
      <c r="CA131" s="543"/>
      <c r="CB131" s="543"/>
      <c r="CC131" s="542" t="s">
        <v>889</v>
      </c>
      <c r="CD131" s="543"/>
      <c r="CE131" s="543"/>
      <c r="CF131" s="543"/>
      <c r="CG131" s="543"/>
      <c r="CH131" s="543"/>
      <c r="CI131" s="543"/>
      <c r="CJ131" s="543"/>
      <c r="CK131" s="543"/>
      <c r="CL131" s="543"/>
      <c r="CM131" s="544"/>
      <c r="CN131" s="544"/>
      <c r="CO131" s="544"/>
      <c r="CP131" s="543"/>
      <c r="CQ131" s="541"/>
      <c r="CR131" s="545"/>
      <c r="CS131" s="545"/>
      <c r="CT131" s="545"/>
      <c r="CU131" s="545"/>
      <c r="CV131" s="545"/>
      <c r="CW131" s="545"/>
      <c r="CX131" s="214"/>
      <c r="CY131" s="214"/>
      <c r="CZ131" s="214"/>
      <c r="DA131" s="214"/>
      <c r="DB131" s="214"/>
      <c r="DC131" s="214"/>
      <c r="DD131" s="214"/>
      <c r="DE131" s="214"/>
      <c r="DF131" s="538"/>
      <c r="DG131" s="538"/>
      <c r="DH131" s="1198"/>
      <c r="DI131" s="1194"/>
      <c r="DJ131" s="1688"/>
      <c r="DK131" s="1688"/>
    </row>
    <row r="132" spans="1:115" ht="10.5" customHeight="1" thickBot="1">
      <c r="A132" s="1253" t="s">
        <v>715</v>
      </c>
      <c r="B132" s="1254"/>
      <c r="C132" s="1254"/>
      <c r="D132" s="1254"/>
      <c r="E132" s="1254"/>
      <c r="F132" s="1254"/>
      <c r="G132" s="1254"/>
      <c r="H132" s="1254"/>
      <c r="I132" s="1254"/>
      <c r="J132" s="1254"/>
      <c r="K132" s="1254"/>
      <c r="L132" s="1254"/>
      <c r="M132" s="1254"/>
      <c r="N132" s="1254"/>
      <c r="O132" s="1254"/>
      <c r="P132" s="1254"/>
      <c r="Q132" s="1255"/>
      <c r="R132" s="469"/>
      <c r="S132" s="469"/>
      <c r="T132" s="469"/>
      <c r="U132" s="469"/>
      <c r="V132" s="469"/>
      <c r="W132" s="469"/>
      <c r="X132" s="469"/>
      <c r="Y132" s="469"/>
      <c r="Z132" s="469"/>
      <c r="AA132" s="469"/>
      <c r="AB132" s="469"/>
      <c r="AC132" s="469"/>
      <c r="AD132" s="469"/>
      <c r="AE132" s="469"/>
      <c r="AF132" s="469"/>
      <c r="AG132" s="469"/>
      <c r="AH132" s="469"/>
      <c r="AI132" s="469"/>
      <c r="AJ132" s="469"/>
      <c r="AK132" s="469"/>
      <c r="AL132" s="469"/>
      <c r="AM132" s="469"/>
      <c r="AN132" s="469"/>
      <c r="AO132" s="469"/>
      <c r="AP132" s="469"/>
      <c r="AQ132" s="469"/>
      <c r="AR132" s="469"/>
      <c r="AS132" s="469"/>
      <c r="AT132" s="469"/>
      <c r="AU132" s="469"/>
      <c r="AV132" s="469"/>
      <c r="AW132" s="469"/>
      <c r="AX132" s="469"/>
      <c r="AY132" s="469"/>
      <c r="AZ132" s="469"/>
      <c r="BA132" s="469"/>
      <c r="BB132" s="469"/>
      <c r="BC132" s="469"/>
      <c r="BD132" s="469"/>
      <c r="BE132" s="186"/>
      <c r="BF132" s="1468"/>
      <c r="BG132" s="541"/>
      <c r="BH132" s="541"/>
      <c r="BI132" s="541"/>
      <c r="BJ132" s="541"/>
      <c r="BK132" s="541"/>
      <c r="BL132" s="541"/>
      <c r="BM132" s="541"/>
      <c r="BN132" s="541"/>
      <c r="BO132" s="541"/>
      <c r="BP132" s="541"/>
      <c r="BQ132" s="541"/>
      <c r="BR132" s="541"/>
      <c r="BS132" s="541"/>
      <c r="BT132" s="541"/>
      <c r="BU132" s="541"/>
      <c r="BV132" s="541"/>
      <c r="BW132" s="541"/>
      <c r="BX132" s="541"/>
      <c r="BY132" s="541"/>
      <c r="BZ132" s="543"/>
      <c r="CA132" s="543"/>
      <c r="CB132" s="543"/>
      <c r="CC132" s="546" t="s">
        <v>890</v>
      </c>
      <c r="CD132" s="543"/>
      <c r="CE132" s="543"/>
      <c r="CF132" s="543"/>
      <c r="CG132" s="543"/>
      <c r="CH132" s="543"/>
      <c r="CI132" s="543"/>
      <c r="CJ132" s="543"/>
      <c r="CK132" s="543"/>
      <c r="CL132" s="543"/>
      <c r="CM132" s="544"/>
      <c r="CN132" s="544"/>
      <c r="CO132" s="544"/>
      <c r="CP132" s="543"/>
      <c r="CQ132" s="545"/>
      <c r="CR132" s="545"/>
      <c r="CS132" s="545"/>
      <c r="CT132" s="545"/>
      <c r="CU132" s="545"/>
      <c r="CV132" s="545"/>
      <c r="CW132" s="545"/>
      <c r="CX132" s="214"/>
      <c r="CY132" s="214"/>
      <c r="CZ132" s="214"/>
      <c r="DA132" s="214"/>
      <c r="DB132" s="214"/>
      <c r="DC132" s="214"/>
      <c r="DD132" s="214"/>
      <c r="DE132" s="538"/>
      <c r="DF132" s="538"/>
      <c r="DG132" s="538"/>
      <c r="DH132" s="1198"/>
      <c r="DI132" s="1194"/>
      <c r="DJ132" s="1688"/>
      <c r="DK132" s="1688"/>
    </row>
    <row r="133" spans="1:115" ht="10.5" customHeight="1" thickBot="1">
      <c r="A133" s="1256"/>
      <c r="B133" s="1257"/>
      <c r="C133" s="1257"/>
      <c r="D133" s="1257"/>
      <c r="E133" s="1257"/>
      <c r="F133" s="1257"/>
      <c r="G133" s="1257"/>
      <c r="H133" s="1257"/>
      <c r="I133" s="1257"/>
      <c r="J133" s="1257"/>
      <c r="K133" s="1257"/>
      <c r="L133" s="1257"/>
      <c r="M133" s="1257"/>
      <c r="N133" s="1257"/>
      <c r="O133" s="1257"/>
      <c r="P133" s="1257"/>
      <c r="Q133" s="1257"/>
      <c r="R133" s="1525" t="s">
        <v>0</v>
      </c>
      <c r="S133" s="1525"/>
      <c r="T133" s="1525"/>
      <c r="U133" s="1525"/>
      <c r="V133" s="1525"/>
      <c r="W133" s="1525"/>
      <c r="X133" s="1525"/>
      <c r="Y133" s="1525"/>
      <c r="Z133" s="1525"/>
      <c r="AA133" s="1525"/>
      <c r="AB133" s="1525"/>
      <c r="AC133" s="1605" t="s">
        <v>716</v>
      </c>
      <c r="AD133" s="1525"/>
      <c r="AE133" s="1525"/>
      <c r="AF133" s="1525"/>
      <c r="AG133" s="1525"/>
      <c r="AH133" s="1525"/>
      <c r="AI133" s="1525"/>
      <c r="AJ133" s="1525"/>
      <c r="AK133" s="1525"/>
      <c r="AL133" s="1525"/>
      <c r="AM133" s="1525"/>
      <c r="AN133" s="1525"/>
      <c r="AO133" s="1606"/>
      <c r="AP133" s="1525" t="s">
        <v>709</v>
      </c>
      <c r="AQ133" s="1525"/>
      <c r="AR133" s="1525"/>
      <c r="AS133" s="1525"/>
      <c r="AT133" s="1525"/>
      <c r="AU133" s="1525"/>
      <c r="AV133" s="1525"/>
      <c r="AW133" s="1525"/>
      <c r="AX133" s="1525"/>
      <c r="AY133" s="1525"/>
      <c r="AZ133" s="1525"/>
      <c r="BA133" s="1525"/>
      <c r="BB133" s="1525"/>
      <c r="BC133" s="1525"/>
      <c r="BD133" s="1525"/>
      <c r="BE133" s="213"/>
      <c r="BF133" s="1468">
        <f ca="1">INDIRECT(ADDRESS(ROW(BF133),111+$BF$28))</f>
        <v>0</v>
      </c>
      <c r="BG133" s="1629" t="s">
        <v>874</v>
      </c>
      <c r="BH133" s="1629"/>
      <c r="BI133" s="1629"/>
      <c r="BJ133" s="1629"/>
      <c r="BK133" s="1629"/>
      <c r="BL133" s="1630"/>
      <c r="BM133" s="1620" t="str">
        <f>CONCATENATE('能力'!AM5,IF('能力'!AM6=0,"",CONCATENATE("、",'能力'!AM6)),IF('能力'!AM7=0,"",CONCATENATE("、",'能力'!AM7)),IF('能力'!AM8=0,"",CONCATENATE("、",'能力'!AM8)),IF('能力'!AM9=0,"",CONCATENATE("、",'能力'!AM9)),IF('能力'!AR4=0,"",CONCATENATE("、",'能力'!AR4)),IF('能力'!AR5=0,"",CONCATENATE("、",'能力'!AR5)),IF('能力'!AR6=0,"",CONCATENATE("、",'能力'!AR6)),IF('能力'!AR7=0,"",CONCATENATE("、",'能力'!AR7)),IF('能力'!AN5=0,"",CONCATENATE("、",'能力'!AN5)),IF('能力'!AR8=0,"",CONCATENATE("、",'能力'!AR8)),IF('能力'!AR9=0,"",CONCATENATE("、",'能力'!AR9)),IF('能力'!AW4=0,"",CONCATENATE("、",'能力'!AW4)),IF('能力'!AW5=0,"",CONCATENATE("、",'能力'!AW5)),IF('能力'!AW6=0,"",CONCATENATE("、",'能力'!AW6)),IF('能力'!AW7=0,"",CONCATENATE("、",'能力'!AW7)),IF('能力'!AW8=0,"",CONCATENATE("、",'能力'!AW8)),IF('能力'!AW9=0,"",CONCATENATE("、",'能力'!AW9)))</f>
        <v>Common</v>
      </c>
      <c r="BN133" s="1621"/>
      <c r="BO133" s="1621"/>
      <c r="BP133" s="1621"/>
      <c r="BQ133" s="1621"/>
      <c r="BR133" s="1621"/>
      <c r="BS133" s="1621"/>
      <c r="BT133" s="1621"/>
      <c r="BU133" s="1621"/>
      <c r="BV133" s="1621"/>
      <c r="BW133" s="1621"/>
      <c r="BX133" s="1621"/>
      <c r="BY133" s="1621"/>
      <c r="BZ133" s="1621"/>
      <c r="CA133" s="1621"/>
      <c r="CB133" s="1621"/>
      <c r="CC133" s="1621"/>
      <c r="CD133" s="1621"/>
      <c r="CE133" s="1621"/>
      <c r="CF133" s="1621"/>
      <c r="CG133" s="1621"/>
      <c r="CH133" s="1621"/>
      <c r="CI133" s="1621"/>
      <c r="CJ133" s="1621"/>
      <c r="CK133" s="1621"/>
      <c r="CL133" s="1621"/>
      <c r="CM133" s="1621"/>
      <c r="CN133" s="1621"/>
      <c r="CO133" s="1621"/>
      <c r="CP133" s="1621"/>
      <c r="CQ133" s="1621"/>
      <c r="CR133" s="1621"/>
      <c r="CS133" s="1621"/>
      <c r="CT133" s="1621"/>
      <c r="CU133" s="1621"/>
      <c r="CV133" s="1621"/>
      <c r="CW133" s="1622"/>
      <c r="CX133" s="186"/>
      <c r="CY133" s="186"/>
      <c r="CZ133" s="186"/>
      <c r="DA133" s="186"/>
      <c r="DB133" s="186"/>
      <c r="DE133" s="186"/>
      <c r="DH133" s="1198"/>
      <c r="DI133" s="1194"/>
      <c r="DJ133" s="1688"/>
      <c r="DK133" s="1688"/>
    </row>
    <row r="134" spans="1:115" ht="10.5" customHeight="1">
      <c r="A134" s="1526">
        <f>IF('装備'!C15=0,"",'装備'!C15)</f>
      </c>
      <c r="B134" s="1526"/>
      <c r="C134" s="1526"/>
      <c r="D134" s="1526"/>
      <c r="E134" s="1526"/>
      <c r="F134" s="1526"/>
      <c r="G134" s="1526"/>
      <c r="H134" s="1526"/>
      <c r="I134" s="1526"/>
      <c r="J134" s="1526"/>
      <c r="K134" s="1526"/>
      <c r="L134" s="1526"/>
      <c r="M134" s="1526"/>
      <c r="N134" s="1526"/>
      <c r="O134" s="1526"/>
      <c r="P134" s="1526"/>
      <c r="Q134" s="1526"/>
      <c r="R134" s="1536"/>
      <c r="S134" s="1536"/>
      <c r="T134" s="1536"/>
      <c r="U134" s="1536"/>
      <c r="V134" s="1536"/>
      <c r="W134" s="1536"/>
      <c r="X134" s="1536"/>
      <c r="Y134" s="1536"/>
      <c r="Z134" s="1536"/>
      <c r="AA134" s="1536"/>
      <c r="AB134" s="1536"/>
      <c r="AC134" s="1600">
        <f>IF('装備'!C15=0,"",CONCATENATE("+",'装備'!P15))</f>
      </c>
      <c r="AD134" s="1600"/>
      <c r="AE134" s="1600"/>
      <c r="AF134" s="1600"/>
      <c r="AG134" s="1600"/>
      <c r="AH134" s="1600"/>
      <c r="AI134" s="1600"/>
      <c r="AJ134" s="1600"/>
      <c r="AK134" s="1600"/>
      <c r="AL134" s="1600"/>
      <c r="AM134" s="1600"/>
      <c r="AN134" s="1600"/>
      <c r="AO134" s="1600"/>
      <c r="AP134" s="1600">
        <f>IF('装備'!C15=0,"",IF('装備'!Q15&gt;999,"なし",CONCATENATE("+",'装備'!Q15)))</f>
      </c>
      <c r="AQ134" s="1600"/>
      <c r="AR134" s="1600"/>
      <c r="AS134" s="1600"/>
      <c r="AT134" s="1600"/>
      <c r="AU134" s="1600"/>
      <c r="AV134" s="1600"/>
      <c r="AW134" s="1600"/>
      <c r="AX134" s="1600"/>
      <c r="AY134" s="1600"/>
      <c r="AZ134" s="1600"/>
      <c r="BA134" s="1600"/>
      <c r="BB134" s="1600"/>
      <c r="BC134" s="1600"/>
      <c r="BD134" s="1600"/>
      <c r="BE134" s="186"/>
      <c r="BF134" s="1468"/>
      <c r="BG134" s="1629"/>
      <c r="BH134" s="1629"/>
      <c r="BI134" s="1629"/>
      <c r="BJ134" s="1629"/>
      <c r="BK134" s="1629"/>
      <c r="BL134" s="1630"/>
      <c r="BM134" s="1623"/>
      <c r="BN134" s="1624"/>
      <c r="BO134" s="1624"/>
      <c r="BP134" s="1624"/>
      <c r="BQ134" s="1624"/>
      <c r="BR134" s="1624"/>
      <c r="BS134" s="1624"/>
      <c r="BT134" s="1624"/>
      <c r="BU134" s="1624"/>
      <c r="BV134" s="1624"/>
      <c r="BW134" s="1624"/>
      <c r="BX134" s="1624"/>
      <c r="BY134" s="1624"/>
      <c r="BZ134" s="1624"/>
      <c r="CA134" s="1624"/>
      <c r="CB134" s="1624"/>
      <c r="CC134" s="1624"/>
      <c r="CD134" s="1624"/>
      <c r="CE134" s="1624"/>
      <c r="CF134" s="1624"/>
      <c r="CG134" s="1624"/>
      <c r="CH134" s="1624"/>
      <c r="CI134" s="1624"/>
      <c r="CJ134" s="1624"/>
      <c r="CK134" s="1624"/>
      <c r="CL134" s="1624"/>
      <c r="CM134" s="1624"/>
      <c r="CN134" s="1624"/>
      <c r="CO134" s="1624"/>
      <c r="CP134" s="1624"/>
      <c r="CQ134" s="1624"/>
      <c r="CR134" s="1624"/>
      <c r="CS134" s="1624"/>
      <c r="CT134" s="1624"/>
      <c r="CU134" s="1624"/>
      <c r="CV134" s="1624"/>
      <c r="CW134" s="1625"/>
      <c r="CX134" s="186"/>
      <c r="CY134" s="186"/>
      <c r="CZ134" s="186"/>
      <c r="DA134" s="186"/>
      <c r="DB134" s="186"/>
      <c r="DH134" s="1198"/>
      <c r="DI134" s="1194"/>
      <c r="DJ134" s="1688"/>
      <c r="DK134" s="1688"/>
    </row>
    <row r="135" spans="1:115" ht="10.5" customHeight="1" thickBot="1">
      <c r="A135" s="1527"/>
      <c r="B135" s="1527"/>
      <c r="C135" s="1527"/>
      <c r="D135" s="1527"/>
      <c r="E135" s="1527"/>
      <c r="F135" s="1527"/>
      <c r="G135" s="1527"/>
      <c r="H135" s="1527"/>
      <c r="I135" s="1527"/>
      <c r="J135" s="1527"/>
      <c r="K135" s="1527"/>
      <c r="L135" s="1527"/>
      <c r="M135" s="1527"/>
      <c r="N135" s="1527"/>
      <c r="O135" s="1527"/>
      <c r="P135" s="1527"/>
      <c r="Q135" s="1527"/>
      <c r="R135" s="1537"/>
      <c r="S135" s="1537"/>
      <c r="T135" s="1537"/>
      <c r="U135" s="1537"/>
      <c r="V135" s="1537"/>
      <c r="W135" s="1537"/>
      <c r="X135" s="1537"/>
      <c r="Y135" s="1537"/>
      <c r="Z135" s="1537"/>
      <c r="AA135" s="1537"/>
      <c r="AB135" s="1537"/>
      <c r="AC135" s="1601"/>
      <c r="AD135" s="1601"/>
      <c r="AE135" s="1601"/>
      <c r="AF135" s="1601"/>
      <c r="AG135" s="1601"/>
      <c r="AH135" s="1601"/>
      <c r="AI135" s="1601"/>
      <c r="AJ135" s="1601"/>
      <c r="AK135" s="1601"/>
      <c r="AL135" s="1601"/>
      <c r="AM135" s="1601"/>
      <c r="AN135" s="1601"/>
      <c r="AO135" s="1601"/>
      <c r="AP135" s="1601"/>
      <c r="AQ135" s="1601"/>
      <c r="AR135" s="1601"/>
      <c r="AS135" s="1601"/>
      <c r="AT135" s="1601"/>
      <c r="AU135" s="1601"/>
      <c r="AV135" s="1601"/>
      <c r="AW135" s="1601"/>
      <c r="AX135" s="1601"/>
      <c r="AY135" s="1601"/>
      <c r="AZ135" s="1601"/>
      <c r="BA135" s="1601"/>
      <c r="BB135" s="1601"/>
      <c r="BC135" s="1601"/>
      <c r="BD135" s="1601"/>
      <c r="BE135" s="186"/>
      <c r="BF135" s="1468">
        <f ca="1">INDIRECT(ADDRESS(ROW(BF135),111+$BF$28))</f>
        <v>0</v>
      </c>
      <c r="BG135" s="1629"/>
      <c r="BH135" s="1629"/>
      <c r="BI135" s="1629"/>
      <c r="BJ135" s="1629"/>
      <c r="BK135" s="1629"/>
      <c r="BL135" s="1630"/>
      <c r="BM135" s="1623"/>
      <c r="BN135" s="1624"/>
      <c r="BO135" s="1624"/>
      <c r="BP135" s="1624"/>
      <c r="BQ135" s="1624"/>
      <c r="BR135" s="1624"/>
      <c r="BS135" s="1624"/>
      <c r="BT135" s="1624"/>
      <c r="BU135" s="1624"/>
      <c r="BV135" s="1624"/>
      <c r="BW135" s="1624"/>
      <c r="BX135" s="1624"/>
      <c r="BY135" s="1624"/>
      <c r="BZ135" s="1624"/>
      <c r="CA135" s="1624"/>
      <c r="CB135" s="1624"/>
      <c r="CC135" s="1624"/>
      <c r="CD135" s="1624"/>
      <c r="CE135" s="1624"/>
      <c r="CF135" s="1624"/>
      <c r="CG135" s="1624"/>
      <c r="CH135" s="1624"/>
      <c r="CI135" s="1624"/>
      <c r="CJ135" s="1624"/>
      <c r="CK135" s="1624"/>
      <c r="CL135" s="1624"/>
      <c r="CM135" s="1624"/>
      <c r="CN135" s="1624"/>
      <c r="CO135" s="1624"/>
      <c r="CP135" s="1624"/>
      <c r="CQ135" s="1624"/>
      <c r="CR135" s="1624"/>
      <c r="CS135" s="1624"/>
      <c r="CT135" s="1624"/>
      <c r="CU135" s="1624"/>
      <c r="CV135" s="1624"/>
      <c r="CW135" s="1625"/>
      <c r="CX135" s="186"/>
      <c r="CY135" s="186"/>
      <c r="CZ135" s="186"/>
      <c r="DA135" s="186"/>
      <c r="DB135" s="186"/>
      <c r="DE135" s="186"/>
      <c r="DH135" s="1198"/>
      <c r="DI135" s="1194"/>
      <c r="DJ135" s="1688"/>
      <c r="DK135" s="1688"/>
    </row>
    <row r="136" spans="1:115" ht="10.5" customHeight="1" thickBot="1">
      <c r="A136" s="1530" t="s">
        <v>710</v>
      </c>
      <c r="B136" s="1531"/>
      <c r="C136" s="1531"/>
      <c r="D136" s="1531"/>
      <c r="E136" s="1531"/>
      <c r="F136" s="1531"/>
      <c r="G136" s="1532"/>
      <c r="H136" s="1281" t="s">
        <v>711</v>
      </c>
      <c r="I136" s="1282"/>
      <c r="J136" s="1282"/>
      <c r="K136" s="1282"/>
      <c r="L136" s="1282"/>
      <c r="M136" s="1282"/>
      <c r="N136" s="1283"/>
      <c r="O136" s="1281" t="s">
        <v>712</v>
      </c>
      <c r="P136" s="1282"/>
      <c r="Q136" s="1282"/>
      <c r="R136" s="1282"/>
      <c r="S136" s="1283"/>
      <c r="T136" s="1282" t="s">
        <v>700</v>
      </c>
      <c r="U136" s="1282"/>
      <c r="V136" s="1282"/>
      <c r="W136" s="1282"/>
      <c r="X136" s="1282"/>
      <c r="Y136" s="1282"/>
      <c r="Z136" s="1283"/>
      <c r="AA136" s="1282" t="s">
        <v>703</v>
      </c>
      <c r="AB136" s="1282"/>
      <c r="AC136" s="1282"/>
      <c r="AD136" s="1282"/>
      <c r="AE136" s="1282"/>
      <c r="AF136" s="1282"/>
      <c r="AG136" s="1282"/>
      <c r="AH136" s="1282"/>
      <c r="AI136" s="1282"/>
      <c r="AJ136" s="1282"/>
      <c r="AK136" s="1282"/>
      <c r="AL136" s="1282"/>
      <c r="AM136" s="1282"/>
      <c r="AN136" s="1282"/>
      <c r="AO136" s="1282"/>
      <c r="AP136" s="1282"/>
      <c r="AQ136" s="1282"/>
      <c r="AR136" s="1282"/>
      <c r="AS136" s="1282"/>
      <c r="AT136" s="1282"/>
      <c r="AU136" s="1282"/>
      <c r="AV136" s="1282"/>
      <c r="AW136" s="1282"/>
      <c r="AX136" s="1282"/>
      <c r="AY136" s="1282"/>
      <c r="AZ136" s="1282"/>
      <c r="BA136" s="1282"/>
      <c r="BB136" s="1282"/>
      <c r="BC136" s="1282"/>
      <c r="BD136" s="1282"/>
      <c r="BE136" s="213"/>
      <c r="BF136" s="1468"/>
      <c r="BG136" s="1629"/>
      <c r="BH136" s="1629"/>
      <c r="BI136" s="1629"/>
      <c r="BJ136" s="1629"/>
      <c r="BK136" s="1629"/>
      <c r="BL136" s="1630"/>
      <c r="BM136" s="1623"/>
      <c r="BN136" s="1624"/>
      <c r="BO136" s="1624"/>
      <c r="BP136" s="1624"/>
      <c r="BQ136" s="1624"/>
      <c r="BR136" s="1624"/>
      <c r="BS136" s="1624"/>
      <c r="BT136" s="1624"/>
      <c r="BU136" s="1624"/>
      <c r="BV136" s="1624"/>
      <c r="BW136" s="1624"/>
      <c r="BX136" s="1624"/>
      <c r="BY136" s="1624"/>
      <c r="BZ136" s="1624"/>
      <c r="CA136" s="1624"/>
      <c r="CB136" s="1624"/>
      <c r="CC136" s="1624"/>
      <c r="CD136" s="1624"/>
      <c r="CE136" s="1624"/>
      <c r="CF136" s="1624"/>
      <c r="CG136" s="1624"/>
      <c r="CH136" s="1624"/>
      <c r="CI136" s="1624"/>
      <c r="CJ136" s="1624"/>
      <c r="CK136" s="1624"/>
      <c r="CL136" s="1624"/>
      <c r="CM136" s="1624"/>
      <c r="CN136" s="1624"/>
      <c r="CO136" s="1624"/>
      <c r="CP136" s="1624"/>
      <c r="CQ136" s="1624"/>
      <c r="CR136" s="1624"/>
      <c r="CS136" s="1624"/>
      <c r="CT136" s="1624"/>
      <c r="CU136" s="1624"/>
      <c r="CV136" s="1624"/>
      <c r="CW136" s="1625"/>
      <c r="CX136" s="186"/>
      <c r="CY136" s="186"/>
      <c r="CZ136" s="186"/>
      <c r="DA136" s="186"/>
      <c r="DB136" s="186"/>
      <c r="DH136" s="1198"/>
      <c r="DI136" s="1194"/>
      <c r="DJ136" s="1688"/>
      <c r="DK136" s="1688"/>
    </row>
    <row r="137" spans="1:115" ht="10.5" customHeight="1">
      <c r="A137" s="1541">
        <f>IF('装備'!C15=0,"",'装備'!R15)</f>
      </c>
      <c r="B137" s="1541"/>
      <c r="C137" s="1541"/>
      <c r="D137" s="1541"/>
      <c r="E137" s="1541"/>
      <c r="F137" s="1541"/>
      <c r="G137" s="1541"/>
      <c r="H137" s="1545">
        <f>IF('装備'!C15=0,"",'装備'!S15)</f>
      </c>
      <c r="I137" s="1545"/>
      <c r="J137" s="1545"/>
      <c r="K137" s="1545"/>
      <c r="L137" s="1545"/>
      <c r="M137" s="1545"/>
      <c r="N137" s="1545"/>
      <c r="O137" s="1528"/>
      <c r="P137" s="1528"/>
      <c r="Q137" s="1528"/>
      <c r="R137" s="1528"/>
      <c r="S137" s="1528"/>
      <c r="T137" s="1543">
        <f>IF('装備'!C15=0,"",IF('装備'!E15=0,"-",'装備'!E15&amp;" lbs"))</f>
      </c>
      <c r="U137" s="1543"/>
      <c r="V137" s="1543"/>
      <c r="W137" s="1543"/>
      <c r="X137" s="1543"/>
      <c r="Y137" s="1543"/>
      <c r="Z137" s="1543"/>
      <c r="AA137" s="1538">
        <f>IF('装備'!C15=0,"",IF('装備'!T15=0,"",'装備'!T15))</f>
      </c>
      <c r="AB137" s="1538"/>
      <c r="AC137" s="1538"/>
      <c r="AD137" s="1538"/>
      <c r="AE137" s="1538"/>
      <c r="AF137" s="1538"/>
      <c r="AG137" s="1538"/>
      <c r="AH137" s="1538"/>
      <c r="AI137" s="1538"/>
      <c r="AJ137" s="1538"/>
      <c r="AK137" s="1538"/>
      <c r="AL137" s="1538"/>
      <c r="AM137" s="1538"/>
      <c r="AN137" s="1538"/>
      <c r="AO137" s="1538"/>
      <c r="AP137" s="1538"/>
      <c r="AQ137" s="1538"/>
      <c r="AR137" s="1538"/>
      <c r="AS137" s="1538"/>
      <c r="AT137" s="1538"/>
      <c r="AU137" s="1538"/>
      <c r="AV137" s="1538"/>
      <c r="AW137" s="1538"/>
      <c r="AX137" s="1538"/>
      <c r="AY137" s="1538"/>
      <c r="AZ137" s="1538"/>
      <c r="BA137" s="1538"/>
      <c r="BB137" s="1538"/>
      <c r="BC137" s="1538"/>
      <c r="BD137" s="1538"/>
      <c r="BE137" s="186"/>
      <c r="BF137" s="1468">
        <f ca="1">INDIRECT(ADDRESS(ROW(BF137),111+$BF$28))</f>
        <v>0</v>
      </c>
      <c r="BG137" s="1629"/>
      <c r="BH137" s="1629"/>
      <c r="BI137" s="1629"/>
      <c r="BJ137" s="1629"/>
      <c r="BK137" s="1629"/>
      <c r="BL137" s="1630"/>
      <c r="BM137" s="1623"/>
      <c r="BN137" s="1624"/>
      <c r="BO137" s="1624"/>
      <c r="BP137" s="1624"/>
      <c r="BQ137" s="1624"/>
      <c r="BR137" s="1624"/>
      <c r="BS137" s="1624"/>
      <c r="BT137" s="1624"/>
      <c r="BU137" s="1624"/>
      <c r="BV137" s="1624"/>
      <c r="BW137" s="1624"/>
      <c r="BX137" s="1624"/>
      <c r="BY137" s="1624"/>
      <c r="BZ137" s="1624"/>
      <c r="CA137" s="1624"/>
      <c r="CB137" s="1624"/>
      <c r="CC137" s="1624"/>
      <c r="CD137" s="1624"/>
      <c r="CE137" s="1624"/>
      <c r="CF137" s="1624"/>
      <c r="CG137" s="1624"/>
      <c r="CH137" s="1624"/>
      <c r="CI137" s="1624"/>
      <c r="CJ137" s="1624"/>
      <c r="CK137" s="1624"/>
      <c r="CL137" s="1624"/>
      <c r="CM137" s="1624"/>
      <c r="CN137" s="1624"/>
      <c r="CO137" s="1624"/>
      <c r="CP137" s="1624"/>
      <c r="CQ137" s="1624"/>
      <c r="CR137" s="1624"/>
      <c r="CS137" s="1624"/>
      <c r="CT137" s="1624"/>
      <c r="CU137" s="1624"/>
      <c r="CV137" s="1624"/>
      <c r="CW137" s="1625"/>
      <c r="CX137" s="186"/>
      <c r="CY137" s="186"/>
      <c r="CZ137" s="186"/>
      <c r="DA137" s="186"/>
      <c r="DB137" s="186"/>
      <c r="DE137" s="186"/>
      <c r="DH137" s="1198"/>
      <c r="DI137" s="1194"/>
      <c r="DJ137" s="1688"/>
      <c r="DK137" s="1688"/>
    </row>
    <row r="138" spans="1:115" ht="10.5" customHeight="1" thickBot="1">
      <c r="A138" s="1542"/>
      <c r="B138" s="1542"/>
      <c r="C138" s="1542"/>
      <c r="D138" s="1542"/>
      <c r="E138" s="1542"/>
      <c r="F138" s="1542"/>
      <c r="G138" s="1542"/>
      <c r="H138" s="1546"/>
      <c r="I138" s="1546"/>
      <c r="J138" s="1546"/>
      <c r="K138" s="1546"/>
      <c r="L138" s="1546"/>
      <c r="M138" s="1546"/>
      <c r="N138" s="1546"/>
      <c r="O138" s="1529"/>
      <c r="P138" s="1529"/>
      <c r="Q138" s="1529"/>
      <c r="R138" s="1529"/>
      <c r="S138" s="1529"/>
      <c r="T138" s="1544"/>
      <c r="U138" s="1544"/>
      <c r="V138" s="1544"/>
      <c r="W138" s="1544"/>
      <c r="X138" s="1544"/>
      <c r="Y138" s="1544"/>
      <c r="Z138" s="1544"/>
      <c r="AA138" s="1539"/>
      <c r="AB138" s="1539"/>
      <c r="AC138" s="1539"/>
      <c r="AD138" s="1539"/>
      <c r="AE138" s="1539"/>
      <c r="AF138" s="1539"/>
      <c r="AG138" s="1539"/>
      <c r="AH138" s="1539"/>
      <c r="AI138" s="1539"/>
      <c r="AJ138" s="1539"/>
      <c r="AK138" s="1539"/>
      <c r="AL138" s="1539"/>
      <c r="AM138" s="1539"/>
      <c r="AN138" s="1539"/>
      <c r="AO138" s="1539"/>
      <c r="AP138" s="1539"/>
      <c r="AQ138" s="1539"/>
      <c r="AR138" s="1539"/>
      <c r="AS138" s="1539"/>
      <c r="AT138" s="1539"/>
      <c r="AU138" s="1539"/>
      <c r="AV138" s="1539"/>
      <c r="AW138" s="1539"/>
      <c r="AX138" s="1539"/>
      <c r="AY138" s="1539"/>
      <c r="AZ138" s="1539"/>
      <c r="BA138" s="1539"/>
      <c r="BB138" s="1539"/>
      <c r="BC138" s="1539"/>
      <c r="BD138" s="1539"/>
      <c r="BE138" s="186"/>
      <c r="BF138" s="1468"/>
      <c r="BG138" s="1629"/>
      <c r="BH138" s="1629"/>
      <c r="BI138" s="1629"/>
      <c r="BJ138" s="1629"/>
      <c r="BK138" s="1629"/>
      <c r="BL138" s="1630"/>
      <c r="BM138" s="1626"/>
      <c r="BN138" s="1627"/>
      <c r="BO138" s="1627"/>
      <c r="BP138" s="1627"/>
      <c r="BQ138" s="1627"/>
      <c r="BR138" s="1627"/>
      <c r="BS138" s="1627"/>
      <c r="BT138" s="1627"/>
      <c r="BU138" s="1627"/>
      <c r="BV138" s="1627"/>
      <c r="BW138" s="1627"/>
      <c r="BX138" s="1627"/>
      <c r="BY138" s="1627"/>
      <c r="BZ138" s="1627"/>
      <c r="CA138" s="1627"/>
      <c r="CB138" s="1627"/>
      <c r="CC138" s="1627"/>
      <c r="CD138" s="1627"/>
      <c r="CE138" s="1627"/>
      <c r="CF138" s="1627"/>
      <c r="CG138" s="1627"/>
      <c r="CH138" s="1627"/>
      <c r="CI138" s="1627"/>
      <c r="CJ138" s="1627"/>
      <c r="CK138" s="1627"/>
      <c r="CL138" s="1627"/>
      <c r="CM138" s="1627"/>
      <c r="CN138" s="1627"/>
      <c r="CO138" s="1627"/>
      <c r="CP138" s="1627"/>
      <c r="CQ138" s="1627"/>
      <c r="CR138" s="1627"/>
      <c r="CS138" s="1627"/>
      <c r="CT138" s="1627"/>
      <c r="CU138" s="1627"/>
      <c r="CV138" s="1627"/>
      <c r="CW138" s="1628"/>
      <c r="CX138" s="186"/>
      <c r="CY138" s="186"/>
      <c r="CZ138" s="186"/>
      <c r="DA138" s="186"/>
      <c r="DB138" s="186"/>
      <c r="DH138" s="1198"/>
      <c r="DI138" s="1194"/>
      <c r="DJ138" s="1688"/>
      <c r="DK138" s="1688"/>
    </row>
    <row r="139" spans="57:115" ht="10.5" customHeight="1">
      <c r="BE139" s="186"/>
      <c r="BF139" s="1468">
        <f ca="1">INDIRECT(ADDRESS(ROW(BF139),111+$BF$28))</f>
        <v>0</v>
      </c>
      <c r="BG139" s="421"/>
      <c r="BH139" s="421"/>
      <c r="BI139" s="421"/>
      <c r="BJ139" s="421"/>
      <c r="BK139" s="421"/>
      <c r="BL139" s="421"/>
      <c r="BM139" s="421"/>
      <c r="BN139" s="421"/>
      <c r="BO139" s="421"/>
      <c r="BP139" s="421"/>
      <c r="BQ139" s="421"/>
      <c r="BR139" s="421"/>
      <c r="BS139" s="421"/>
      <c r="BT139" s="421"/>
      <c r="BU139" s="421"/>
      <c r="BV139" s="421"/>
      <c r="BW139" s="421"/>
      <c r="BX139" s="421"/>
      <c r="BY139" s="421"/>
      <c r="BZ139" s="422"/>
      <c r="CA139" s="422"/>
      <c r="CB139" s="422"/>
      <c r="CC139" s="423"/>
      <c r="CD139" s="424"/>
      <c r="CE139" s="424"/>
      <c r="CF139" s="424"/>
      <c r="CG139" s="424"/>
      <c r="CH139" s="421"/>
      <c r="CI139" s="424"/>
      <c r="CJ139" s="424"/>
      <c r="CK139" s="424"/>
      <c r="CL139" s="421"/>
      <c r="CM139" s="425"/>
      <c r="CN139" s="425"/>
      <c r="CO139" s="425"/>
      <c r="CP139" s="421"/>
      <c r="CQ139" s="421"/>
      <c r="CR139" s="426"/>
      <c r="CS139" s="426"/>
      <c r="CT139" s="426"/>
      <c r="CU139" s="426"/>
      <c r="CV139" s="426"/>
      <c r="CW139" s="426"/>
      <c r="CX139" s="186"/>
      <c r="CY139" s="186"/>
      <c r="CZ139" s="186"/>
      <c r="DA139" s="186"/>
      <c r="DB139" s="186"/>
      <c r="DE139" s="186"/>
      <c r="DH139" s="1194"/>
      <c r="DI139" s="1194"/>
      <c r="DJ139" s="1688"/>
      <c r="DK139" s="1688"/>
    </row>
    <row r="140" spans="1:115" ht="10.5" customHeight="1">
      <c r="A140" s="241"/>
      <c r="B140" s="241"/>
      <c r="C140" s="241"/>
      <c r="D140" s="241"/>
      <c r="E140" s="241"/>
      <c r="F140" s="241"/>
      <c r="G140" s="241"/>
      <c r="H140" s="241"/>
      <c r="I140" s="241"/>
      <c r="J140" s="241"/>
      <c r="K140" s="241"/>
      <c r="L140" s="241"/>
      <c r="M140" s="241"/>
      <c r="N140" s="241"/>
      <c r="O140" s="241"/>
      <c r="P140" s="241"/>
      <c r="Q140" s="241"/>
      <c r="R140" s="413"/>
      <c r="S140" s="413"/>
      <c r="T140" s="413"/>
      <c r="U140" s="413"/>
      <c r="V140" s="413"/>
      <c r="W140" s="413"/>
      <c r="X140" s="413"/>
      <c r="Y140" s="413"/>
      <c r="Z140" s="413"/>
      <c r="AA140" s="413"/>
      <c r="AB140" s="413"/>
      <c r="AC140" s="413"/>
      <c r="AD140" s="413"/>
      <c r="AE140" s="413"/>
      <c r="AF140" s="413"/>
      <c r="AG140" s="413"/>
      <c r="AH140" s="413"/>
      <c r="AI140" s="413"/>
      <c r="AJ140" s="413"/>
      <c r="AK140" s="413"/>
      <c r="AL140" s="413"/>
      <c r="AM140" s="413"/>
      <c r="AN140" s="413"/>
      <c r="AO140" s="413"/>
      <c r="AP140" s="413"/>
      <c r="AQ140" s="413"/>
      <c r="AR140" s="413"/>
      <c r="AS140" s="413"/>
      <c r="AT140" s="413"/>
      <c r="AU140" s="413"/>
      <c r="AV140" s="413"/>
      <c r="AW140" s="413"/>
      <c r="AX140" s="413"/>
      <c r="AY140" s="413"/>
      <c r="AZ140" s="413"/>
      <c r="BA140" s="413"/>
      <c r="BB140" s="413"/>
      <c r="BC140" s="413"/>
      <c r="BD140" s="413"/>
      <c r="BE140" s="186"/>
      <c r="BF140" s="1468"/>
      <c r="BG140" s="427"/>
      <c r="BH140" s="427"/>
      <c r="BI140" s="427"/>
      <c r="BJ140" s="427"/>
      <c r="BK140" s="427"/>
      <c r="BL140" s="427"/>
      <c r="BM140" s="427"/>
      <c r="BN140" s="427"/>
      <c r="BO140" s="427"/>
      <c r="BP140" s="427"/>
      <c r="BQ140" s="427"/>
      <c r="BR140" s="427"/>
      <c r="BS140" s="427"/>
      <c r="BT140" s="427"/>
      <c r="BU140" s="427"/>
      <c r="BV140" s="427"/>
      <c r="BW140" s="427"/>
      <c r="BX140" s="427"/>
      <c r="BY140" s="427"/>
      <c r="BZ140" s="425"/>
      <c r="CA140" s="425"/>
      <c r="CB140" s="425"/>
      <c r="CC140" s="428"/>
      <c r="CD140" s="429"/>
      <c r="CE140" s="429"/>
      <c r="CF140" s="429"/>
      <c r="CG140" s="429"/>
      <c r="CH140" s="427"/>
      <c r="CI140" s="429"/>
      <c r="CJ140" s="429"/>
      <c r="CK140" s="429"/>
      <c r="CL140" s="427"/>
      <c r="CM140" s="425"/>
      <c r="CN140" s="425"/>
      <c r="CO140" s="425"/>
      <c r="CP140" s="427"/>
      <c r="CQ140" s="430"/>
      <c r="CR140" s="430"/>
      <c r="CS140" s="430"/>
      <c r="CT140" s="430"/>
      <c r="CU140" s="430"/>
      <c r="CV140" s="430"/>
      <c r="CW140" s="430"/>
      <c r="CX140" s="186"/>
      <c r="CY140" s="186"/>
      <c r="CZ140" s="186"/>
      <c r="DA140" s="186"/>
      <c r="DB140" s="186"/>
      <c r="DH140" s="1194"/>
      <c r="DI140" s="1194"/>
      <c r="DJ140" s="1688"/>
      <c r="DK140" s="1688"/>
    </row>
    <row r="141" spans="1:115" ht="10.5" customHeight="1">
      <c r="A141" s="241"/>
      <c r="B141" s="241"/>
      <c r="C141" s="241"/>
      <c r="D141" s="241"/>
      <c r="E141" s="241"/>
      <c r="F141" s="241"/>
      <c r="G141" s="241"/>
      <c r="H141" s="241"/>
      <c r="I141" s="241"/>
      <c r="J141" s="241"/>
      <c r="K141" s="241"/>
      <c r="L141" s="241"/>
      <c r="M141" s="241"/>
      <c r="N141" s="241"/>
      <c r="O141" s="241"/>
      <c r="P141" s="241"/>
      <c r="Q141" s="241"/>
      <c r="R141" s="378"/>
      <c r="S141" s="378"/>
      <c r="T141" s="378"/>
      <c r="U141" s="378"/>
      <c r="V141" s="378"/>
      <c r="W141" s="378"/>
      <c r="X141" s="378"/>
      <c r="Y141" s="378"/>
      <c r="Z141" s="378"/>
      <c r="AA141" s="378"/>
      <c r="AB141" s="378"/>
      <c r="AC141" s="378"/>
      <c r="AD141" s="378"/>
      <c r="AE141" s="378"/>
      <c r="AF141" s="378"/>
      <c r="AG141" s="378"/>
      <c r="AH141" s="378"/>
      <c r="AI141" s="378"/>
      <c r="AJ141" s="378"/>
      <c r="AK141" s="378"/>
      <c r="AL141" s="378"/>
      <c r="AM141" s="378"/>
      <c r="AN141" s="378"/>
      <c r="AO141" s="378"/>
      <c r="AP141" s="378"/>
      <c r="AQ141" s="378"/>
      <c r="AR141" s="378"/>
      <c r="AS141" s="378"/>
      <c r="AT141" s="378"/>
      <c r="AU141" s="378"/>
      <c r="AV141" s="378"/>
      <c r="AW141" s="378"/>
      <c r="AX141" s="378"/>
      <c r="AY141" s="378"/>
      <c r="AZ141" s="378"/>
      <c r="BA141" s="378"/>
      <c r="BB141" s="378"/>
      <c r="BC141" s="378"/>
      <c r="BD141" s="378"/>
      <c r="BE141" s="214"/>
      <c r="BF141" s="1468">
        <f ca="1">INDIRECT(ADDRESS(ROW(BF141),111+$BF$28))</f>
        <v>0</v>
      </c>
      <c r="CX141" s="186"/>
      <c r="CY141" s="186"/>
      <c r="CZ141" s="186"/>
      <c r="DA141" s="186"/>
      <c r="DB141" s="186"/>
      <c r="DE141" s="186"/>
      <c r="DH141" s="1194"/>
      <c r="DI141" s="1194"/>
      <c r="DJ141" s="1688"/>
      <c r="DK141" s="1688"/>
    </row>
    <row r="142" spans="1:115" ht="10.5" customHeight="1">
      <c r="A142" s="389"/>
      <c r="B142" s="386"/>
      <c r="C142" s="386"/>
      <c r="D142" s="386"/>
      <c r="E142" s="386"/>
      <c r="F142" s="386"/>
      <c r="G142" s="386"/>
      <c r="H142" s="386"/>
      <c r="I142" s="386"/>
      <c r="J142" s="386"/>
      <c r="K142" s="386"/>
      <c r="L142" s="386"/>
      <c r="M142" s="386"/>
      <c r="N142" s="386"/>
      <c r="O142" s="386"/>
      <c r="P142" s="386"/>
      <c r="Q142" s="386"/>
      <c r="R142" s="414"/>
      <c r="S142" s="414"/>
      <c r="T142" s="414"/>
      <c r="U142" s="414"/>
      <c r="V142" s="414"/>
      <c r="W142" s="414"/>
      <c r="X142" s="414"/>
      <c r="Y142" s="414"/>
      <c r="Z142" s="414"/>
      <c r="AA142" s="414"/>
      <c r="AB142" s="414"/>
      <c r="AC142" s="415"/>
      <c r="AD142" s="415"/>
      <c r="AE142" s="415"/>
      <c r="AF142" s="415"/>
      <c r="AG142" s="415"/>
      <c r="AH142" s="415"/>
      <c r="AI142" s="415"/>
      <c r="AJ142" s="415"/>
      <c r="AK142" s="415"/>
      <c r="AL142" s="415"/>
      <c r="AM142" s="415"/>
      <c r="AN142" s="415"/>
      <c r="AO142" s="415"/>
      <c r="AP142" s="415"/>
      <c r="AQ142" s="415"/>
      <c r="AR142" s="415"/>
      <c r="AS142" s="415"/>
      <c r="AT142" s="415"/>
      <c r="AU142" s="415"/>
      <c r="AV142" s="415"/>
      <c r="AW142" s="415"/>
      <c r="AX142" s="415"/>
      <c r="AY142" s="415"/>
      <c r="AZ142" s="415"/>
      <c r="BA142" s="415"/>
      <c r="BB142" s="415"/>
      <c r="BC142" s="415"/>
      <c r="BD142" s="415"/>
      <c r="BE142" s="186"/>
      <c r="BF142" s="1468"/>
      <c r="CX142" s="186"/>
      <c r="CY142" s="186"/>
      <c r="CZ142" s="186"/>
      <c r="DA142" s="186"/>
      <c r="DB142" s="186"/>
      <c r="DH142" s="1194"/>
      <c r="DI142" s="1194"/>
      <c r="DJ142" s="1688"/>
      <c r="DK142" s="1688"/>
    </row>
    <row r="143" spans="1:115" ht="10.5" customHeight="1">
      <c r="A143" s="386"/>
      <c r="B143" s="386"/>
      <c r="C143" s="386"/>
      <c r="D143" s="386"/>
      <c r="E143" s="386"/>
      <c r="F143" s="386"/>
      <c r="G143" s="386"/>
      <c r="H143" s="386"/>
      <c r="I143" s="386"/>
      <c r="J143" s="386"/>
      <c r="K143" s="386"/>
      <c r="L143" s="386"/>
      <c r="M143" s="386"/>
      <c r="N143" s="386"/>
      <c r="O143" s="386"/>
      <c r="P143" s="386"/>
      <c r="Q143" s="386"/>
      <c r="R143" s="414"/>
      <c r="S143" s="414"/>
      <c r="T143" s="414"/>
      <c r="U143" s="414"/>
      <c r="V143" s="414"/>
      <c r="W143" s="414"/>
      <c r="X143" s="414"/>
      <c r="Y143" s="414"/>
      <c r="Z143" s="414"/>
      <c r="AA143" s="414"/>
      <c r="AB143" s="414"/>
      <c r="AC143" s="415"/>
      <c r="AD143" s="415"/>
      <c r="AE143" s="415"/>
      <c r="AF143" s="415"/>
      <c r="AG143" s="415"/>
      <c r="AH143" s="415"/>
      <c r="AI143" s="415"/>
      <c r="AJ143" s="415"/>
      <c r="AK143" s="415"/>
      <c r="AL143" s="415"/>
      <c r="AM143" s="415"/>
      <c r="AN143" s="415"/>
      <c r="AO143" s="415"/>
      <c r="AP143" s="415"/>
      <c r="AQ143" s="415"/>
      <c r="AR143" s="415"/>
      <c r="AS143" s="415"/>
      <c r="AT143" s="415"/>
      <c r="AU143" s="415"/>
      <c r="AV143" s="415"/>
      <c r="AW143" s="415"/>
      <c r="AX143" s="415"/>
      <c r="AY143" s="415"/>
      <c r="AZ143" s="415"/>
      <c r="BA143" s="415"/>
      <c r="BB143" s="415"/>
      <c r="BC143" s="415"/>
      <c r="BD143" s="415"/>
      <c r="BE143" s="186"/>
      <c r="BF143" s="1468">
        <f ca="1">INDIRECT(ADDRESS(ROW(BF143),111+$BF$28))</f>
        <v>0</v>
      </c>
      <c r="CX143" s="186"/>
      <c r="CY143" s="186"/>
      <c r="CZ143" s="186"/>
      <c r="DA143" s="186"/>
      <c r="DB143" s="186"/>
      <c r="DE143" s="186"/>
      <c r="DH143" s="1194"/>
      <c r="DI143" s="1194"/>
      <c r="DJ143" s="1688"/>
      <c r="DK143" s="1688"/>
    </row>
    <row r="144" spans="1:115" ht="10.5" customHeight="1">
      <c r="A144" s="381"/>
      <c r="B144" s="381"/>
      <c r="C144" s="381"/>
      <c r="D144" s="381"/>
      <c r="E144" s="381"/>
      <c r="F144" s="381"/>
      <c r="G144" s="381"/>
      <c r="H144" s="379"/>
      <c r="I144" s="379"/>
      <c r="J144" s="379"/>
      <c r="K144" s="379"/>
      <c r="L144" s="379"/>
      <c r="M144" s="379"/>
      <c r="N144" s="379"/>
      <c r="O144" s="379"/>
      <c r="P144" s="379"/>
      <c r="Q144" s="379"/>
      <c r="R144" s="379"/>
      <c r="S144" s="379"/>
      <c r="T144" s="379"/>
      <c r="U144" s="379"/>
      <c r="V144" s="379"/>
      <c r="W144" s="379"/>
      <c r="X144" s="379"/>
      <c r="Y144" s="379"/>
      <c r="Z144" s="379"/>
      <c r="AA144" s="379"/>
      <c r="AB144" s="379"/>
      <c r="AC144" s="379"/>
      <c r="AD144" s="379"/>
      <c r="AE144" s="379"/>
      <c r="AF144" s="379"/>
      <c r="AG144" s="379"/>
      <c r="AH144" s="379"/>
      <c r="AI144" s="379"/>
      <c r="AJ144" s="379"/>
      <c r="AK144" s="379"/>
      <c r="AL144" s="379"/>
      <c r="AM144" s="379"/>
      <c r="AN144" s="379"/>
      <c r="AO144" s="379"/>
      <c r="AP144" s="379"/>
      <c r="AQ144" s="379"/>
      <c r="AR144" s="379"/>
      <c r="AS144" s="379"/>
      <c r="AT144" s="379"/>
      <c r="AU144" s="379"/>
      <c r="AV144" s="379"/>
      <c r="AW144" s="379"/>
      <c r="AX144" s="379"/>
      <c r="AY144" s="379"/>
      <c r="AZ144" s="379"/>
      <c r="BA144" s="379"/>
      <c r="BB144" s="379"/>
      <c r="BC144" s="379"/>
      <c r="BD144" s="379"/>
      <c r="BE144" s="214"/>
      <c r="BF144" s="1468"/>
      <c r="CX144" s="186"/>
      <c r="CY144" s="186"/>
      <c r="CZ144" s="186"/>
      <c r="DA144" s="186"/>
      <c r="DB144" s="186"/>
      <c r="DH144" s="1194"/>
      <c r="DI144" s="1194"/>
      <c r="DJ144" s="1688"/>
      <c r="DK144" s="1688"/>
    </row>
    <row r="145" spans="1:115" ht="10.5" customHeight="1">
      <c r="A145" s="416"/>
      <c r="B145" s="416"/>
      <c r="C145" s="416"/>
      <c r="D145" s="416"/>
      <c r="E145" s="416"/>
      <c r="F145" s="416"/>
      <c r="G145" s="416"/>
      <c r="H145" s="417"/>
      <c r="I145" s="417"/>
      <c r="J145" s="417"/>
      <c r="K145" s="417"/>
      <c r="L145" s="417"/>
      <c r="M145" s="417"/>
      <c r="N145" s="417"/>
      <c r="O145" s="418"/>
      <c r="P145" s="418"/>
      <c r="Q145" s="418"/>
      <c r="R145" s="418"/>
      <c r="S145" s="418"/>
      <c r="T145" s="419"/>
      <c r="U145" s="419"/>
      <c r="V145" s="419"/>
      <c r="W145" s="419"/>
      <c r="X145" s="419"/>
      <c r="Y145" s="419"/>
      <c r="Z145" s="419"/>
      <c r="AA145" s="420"/>
      <c r="AB145" s="420"/>
      <c r="AC145" s="420"/>
      <c r="AD145" s="420"/>
      <c r="AE145" s="420"/>
      <c r="AF145" s="420"/>
      <c r="AG145" s="420"/>
      <c r="AH145" s="420"/>
      <c r="AI145" s="420"/>
      <c r="AJ145" s="420"/>
      <c r="AK145" s="420"/>
      <c r="AL145" s="420"/>
      <c r="AM145" s="420"/>
      <c r="AN145" s="420"/>
      <c r="AO145" s="420"/>
      <c r="AP145" s="420"/>
      <c r="AQ145" s="420"/>
      <c r="AR145" s="420"/>
      <c r="AS145" s="420"/>
      <c r="AT145" s="420"/>
      <c r="AU145" s="420"/>
      <c r="AV145" s="420"/>
      <c r="AW145" s="420"/>
      <c r="AX145" s="420"/>
      <c r="AY145" s="420"/>
      <c r="AZ145" s="420"/>
      <c r="BA145" s="420"/>
      <c r="BB145" s="420"/>
      <c r="BC145" s="420"/>
      <c r="BD145" s="420"/>
      <c r="BE145" s="186"/>
      <c r="BF145" s="1468">
        <f ca="1">INDIRECT(ADDRESS(ROW(BF145),111+$BF$28))</f>
        <v>0</v>
      </c>
      <c r="CX145" s="186"/>
      <c r="CY145" s="186"/>
      <c r="CZ145" s="186"/>
      <c r="DA145" s="186"/>
      <c r="DB145" s="186"/>
      <c r="DE145" s="186"/>
      <c r="DH145" s="1194"/>
      <c r="DI145" s="1194"/>
      <c r="DJ145" s="1688"/>
      <c r="DK145" s="1688"/>
    </row>
    <row r="146" spans="1:115" ht="10.5" customHeight="1">
      <c r="A146" s="416"/>
      <c r="B146" s="416"/>
      <c r="C146" s="416"/>
      <c r="D146" s="416"/>
      <c r="E146" s="416"/>
      <c r="F146" s="416"/>
      <c r="G146" s="416"/>
      <c r="H146" s="417"/>
      <c r="I146" s="417"/>
      <c r="J146" s="417"/>
      <c r="K146" s="417"/>
      <c r="L146" s="417"/>
      <c r="M146" s="417"/>
      <c r="N146" s="417"/>
      <c r="O146" s="418"/>
      <c r="P146" s="418"/>
      <c r="Q146" s="418"/>
      <c r="R146" s="418"/>
      <c r="S146" s="418"/>
      <c r="T146" s="419"/>
      <c r="U146" s="419"/>
      <c r="V146" s="419"/>
      <c r="W146" s="419"/>
      <c r="X146" s="419"/>
      <c r="Y146" s="419"/>
      <c r="Z146" s="419"/>
      <c r="AA146" s="420"/>
      <c r="AB146" s="420"/>
      <c r="AC146" s="420"/>
      <c r="AD146" s="420"/>
      <c r="AE146" s="420"/>
      <c r="AF146" s="420"/>
      <c r="AG146" s="420"/>
      <c r="AH146" s="420"/>
      <c r="AI146" s="420"/>
      <c r="AJ146" s="420"/>
      <c r="AK146" s="420"/>
      <c r="AL146" s="420"/>
      <c r="AM146" s="420"/>
      <c r="AN146" s="420"/>
      <c r="AO146" s="420"/>
      <c r="AP146" s="420"/>
      <c r="AQ146" s="420"/>
      <c r="AR146" s="420"/>
      <c r="AS146" s="420"/>
      <c r="AT146" s="420"/>
      <c r="AU146" s="420"/>
      <c r="AV146" s="420"/>
      <c r="AW146" s="420"/>
      <c r="AX146" s="420"/>
      <c r="AY146" s="420"/>
      <c r="AZ146" s="420"/>
      <c r="BA146" s="420"/>
      <c r="BB146" s="420"/>
      <c r="BC146" s="420"/>
      <c r="BD146" s="420"/>
      <c r="BE146" s="186"/>
      <c r="BF146" s="1468"/>
      <c r="CX146" s="186"/>
      <c r="CY146" s="186"/>
      <c r="CZ146" s="186"/>
      <c r="DA146" s="186"/>
      <c r="DB146" s="186"/>
      <c r="DH146" s="1194"/>
      <c r="DI146" s="1194"/>
      <c r="DJ146" s="1688"/>
      <c r="DK146" s="1688"/>
    </row>
    <row r="147" spans="1:115" ht="10.5" customHeight="1">
      <c r="A147" s="215"/>
      <c r="B147" s="215"/>
      <c r="C147" s="215"/>
      <c r="D147" s="215"/>
      <c r="E147" s="215"/>
      <c r="F147" s="215"/>
      <c r="G147" s="215"/>
      <c r="H147" s="215"/>
      <c r="I147" s="215"/>
      <c r="J147" s="215"/>
      <c r="K147" s="215"/>
      <c r="L147" s="215"/>
      <c r="M147" s="215"/>
      <c r="N147" s="215"/>
      <c r="O147" s="215"/>
      <c r="P147" s="215"/>
      <c r="Q147" s="215"/>
      <c r="R147" s="215"/>
      <c r="S147" s="215"/>
      <c r="T147" s="215"/>
      <c r="U147" s="215"/>
      <c r="V147" s="215"/>
      <c r="W147" s="215"/>
      <c r="X147" s="215"/>
      <c r="Y147" s="215"/>
      <c r="Z147" s="215"/>
      <c r="AA147" s="215"/>
      <c r="AB147" s="215"/>
      <c r="AC147" s="215"/>
      <c r="AD147" s="215"/>
      <c r="AE147" s="215"/>
      <c r="AF147" s="215"/>
      <c r="AG147" s="215"/>
      <c r="AH147" s="215"/>
      <c r="AI147" s="215"/>
      <c r="AJ147" s="215"/>
      <c r="AK147" s="215"/>
      <c r="AL147" s="215"/>
      <c r="AM147" s="215"/>
      <c r="AN147" s="215"/>
      <c r="AO147" s="215"/>
      <c r="AP147" s="215"/>
      <c r="AQ147" s="215"/>
      <c r="AR147" s="215"/>
      <c r="AS147" s="215"/>
      <c r="AT147" s="215"/>
      <c r="AU147" s="215"/>
      <c r="AV147" s="215"/>
      <c r="AW147" s="215"/>
      <c r="AX147" s="215"/>
      <c r="AY147" s="215"/>
      <c r="AZ147" s="215"/>
      <c r="BA147" s="215"/>
      <c r="BB147" s="215"/>
      <c r="BC147" s="215"/>
      <c r="BD147" s="215"/>
      <c r="BE147" s="186"/>
      <c r="BF147" s="1468">
        <f ca="1">INDIRECT(ADDRESS(ROW(BF147),111+$BF$28))</f>
        <v>0</v>
      </c>
      <c r="BG147" s="405"/>
      <c r="BH147" s="405"/>
      <c r="BI147" s="405"/>
      <c r="BJ147" s="405"/>
      <c r="BK147" s="405"/>
      <c r="BL147" s="405"/>
      <c r="BM147" s="405"/>
      <c r="BN147" s="405"/>
      <c r="BO147" s="405"/>
      <c r="BP147" s="405"/>
      <c r="BQ147" s="405"/>
      <c r="BR147" s="405"/>
      <c r="BS147" s="405"/>
      <c r="BT147" s="405"/>
      <c r="BU147" s="405"/>
      <c r="BV147" s="405"/>
      <c r="BW147" s="405"/>
      <c r="BX147" s="405"/>
      <c r="BY147" s="405"/>
      <c r="BZ147" s="406"/>
      <c r="CA147" s="406"/>
      <c r="CB147" s="406"/>
      <c r="CC147" s="407"/>
      <c r="CD147" s="408"/>
      <c r="CE147" s="408"/>
      <c r="CF147" s="408"/>
      <c r="CG147" s="408"/>
      <c r="CH147" s="172"/>
      <c r="CI147" s="409"/>
      <c r="CJ147" s="409"/>
      <c r="CK147" s="409"/>
      <c r="CL147" s="172"/>
      <c r="CM147" s="382"/>
      <c r="CN147" s="382"/>
      <c r="CO147" s="382"/>
      <c r="CP147" s="410"/>
      <c r="CQ147" s="412"/>
      <c r="CR147" s="411"/>
      <c r="CS147" s="411"/>
      <c r="CT147" s="411"/>
      <c r="CU147" s="411"/>
      <c r="CV147" s="411"/>
      <c r="CW147" s="411"/>
      <c r="CX147" s="186"/>
      <c r="CY147" s="186"/>
      <c r="CZ147" s="186"/>
      <c r="DA147" s="186"/>
      <c r="DB147" s="186"/>
      <c r="DE147" s="186"/>
      <c r="DH147" s="1194"/>
      <c r="DI147" s="1194"/>
      <c r="DJ147" s="1688"/>
      <c r="DK147" s="1688"/>
    </row>
    <row r="148" spans="1:115" ht="10.5" customHeight="1">
      <c r="A148" s="241"/>
      <c r="B148" s="241"/>
      <c r="C148" s="241"/>
      <c r="D148" s="241"/>
      <c r="E148" s="241"/>
      <c r="F148" s="241"/>
      <c r="G148" s="241"/>
      <c r="H148" s="390"/>
      <c r="I148" s="390"/>
      <c r="J148" s="390"/>
      <c r="K148" s="390"/>
      <c r="L148" s="390"/>
      <c r="M148" s="390"/>
      <c r="N148" s="390"/>
      <c r="O148" s="390"/>
      <c r="P148" s="390"/>
      <c r="Q148" s="390"/>
      <c r="R148" s="390"/>
      <c r="S148" s="390"/>
      <c r="T148" s="391"/>
      <c r="U148" s="391"/>
      <c r="V148" s="392"/>
      <c r="W148" s="392"/>
      <c r="X148" s="392"/>
      <c r="Y148" s="392"/>
      <c r="Z148" s="392"/>
      <c r="AA148" s="390"/>
      <c r="AB148" s="390"/>
      <c r="AC148" s="390"/>
      <c r="AD148" s="390"/>
      <c r="AE148" s="390"/>
      <c r="AF148" s="390"/>
      <c r="AG148" s="390"/>
      <c r="AH148" s="390"/>
      <c r="AI148" s="390"/>
      <c r="AJ148" s="390"/>
      <c r="AK148" s="390"/>
      <c r="AL148" s="390"/>
      <c r="AM148" s="391"/>
      <c r="AN148" s="391"/>
      <c r="AO148" s="391"/>
      <c r="AP148" s="391"/>
      <c r="AQ148" s="391"/>
      <c r="AR148" s="391"/>
      <c r="AS148" s="390"/>
      <c r="AT148" s="390"/>
      <c r="AU148" s="390"/>
      <c r="AV148" s="390"/>
      <c r="AW148" s="390"/>
      <c r="AX148" s="390"/>
      <c r="AY148" s="390"/>
      <c r="AZ148" s="390"/>
      <c r="BA148" s="390"/>
      <c r="BB148" s="390"/>
      <c r="BC148" s="390"/>
      <c r="BD148" s="390"/>
      <c r="BE148" s="186"/>
      <c r="BF148" s="1468"/>
      <c r="BG148" s="405"/>
      <c r="BH148" s="405"/>
      <c r="BI148" s="405"/>
      <c r="BJ148" s="405"/>
      <c r="BK148" s="405"/>
      <c r="BL148" s="405"/>
      <c r="BM148" s="405"/>
      <c r="BN148" s="405"/>
      <c r="BO148" s="405"/>
      <c r="BP148" s="405"/>
      <c r="BQ148" s="405"/>
      <c r="BR148" s="405"/>
      <c r="BS148" s="405"/>
      <c r="BT148" s="405"/>
      <c r="BU148" s="405"/>
      <c r="BV148" s="405"/>
      <c r="BW148" s="405"/>
      <c r="BX148" s="405"/>
      <c r="BY148" s="405"/>
      <c r="BZ148" s="406"/>
      <c r="CA148" s="406"/>
      <c r="CB148" s="406"/>
      <c r="CC148" s="407"/>
      <c r="CD148" s="408"/>
      <c r="CE148" s="408"/>
      <c r="CF148" s="408"/>
      <c r="CG148" s="408"/>
      <c r="CH148" s="172"/>
      <c r="CI148" s="409"/>
      <c r="CJ148" s="409"/>
      <c r="CK148" s="409"/>
      <c r="CL148" s="172"/>
      <c r="CM148" s="382"/>
      <c r="CN148" s="382"/>
      <c r="CO148" s="382"/>
      <c r="CP148" s="410"/>
      <c r="CQ148" s="411"/>
      <c r="CR148" s="411"/>
      <c r="CS148" s="411"/>
      <c r="CT148" s="411"/>
      <c r="CU148" s="411"/>
      <c r="CV148" s="411"/>
      <c r="CW148" s="411"/>
      <c r="CX148" s="186"/>
      <c r="CY148" s="186"/>
      <c r="CZ148" s="186"/>
      <c r="DA148" s="186"/>
      <c r="DB148" s="186"/>
      <c r="DH148" s="1194"/>
      <c r="DI148" s="1194"/>
      <c r="DJ148" s="1688"/>
      <c r="DK148" s="1688"/>
    </row>
    <row r="149" spans="1:109" ht="10.5" customHeight="1">
      <c r="A149" s="241"/>
      <c r="B149" s="241"/>
      <c r="C149" s="241"/>
      <c r="D149" s="241"/>
      <c r="E149" s="241"/>
      <c r="F149" s="241"/>
      <c r="G149" s="241"/>
      <c r="H149" s="390"/>
      <c r="I149" s="390"/>
      <c r="J149" s="390"/>
      <c r="K149" s="390"/>
      <c r="L149" s="390"/>
      <c r="M149" s="390"/>
      <c r="N149" s="390"/>
      <c r="O149" s="390"/>
      <c r="P149" s="390"/>
      <c r="Q149" s="390"/>
      <c r="R149" s="390"/>
      <c r="S149" s="390"/>
      <c r="T149" s="391"/>
      <c r="U149" s="391"/>
      <c r="V149" s="391"/>
      <c r="W149" s="391"/>
      <c r="X149" s="391"/>
      <c r="Y149" s="391"/>
      <c r="Z149" s="392"/>
      <c r="AA149" s="390"/>
      <c r="AB149" s="390"/>
      <c r="AC149" s="390"/>
      <c r="AD149" s="390"/>
      <c r="AE149" s="390"/>
      <c r="AF149" s="390"/>
      <c r="AG149" s="390"/>
      <c r="AH149" s="390"/>
      <c r="AI149" s="390"/>
      <c r="AJ149" s="390"/>
      <c r="AK149" s="390"/>
      <c r="AL149" s="390"/>
      <c r="AM149" s="392"/>
      <c r="AN149" s="392"/>
      <c r="AO149" s="392"/>
      <c r="AP149" s="392"/>
      <c r="AQ149" s="392"/>
      <c r="AR149" s="392"/>
      <c r="AS149" s="390"/>
      <c r="AT149" s="390"/>
      <c r="AU149" s="390"/>
      <c r="AV149" s="390"/>
      <c r="AW149" s="390"/>
      <c r="AX149" s="390"/>
      <c r="AY149" s="390"/>
      <c r="AZ149" s="390"/>
      <c r="BA149" s="390"/>
      <c r="BB149" s="390"/>
      <c r="BC149" s="390"/>
      <c r="BD149" s="390"/>
      <c r="BE149" s="176"/>
      <c r="BF149" s="176"/>
      <c r="BG149" s="216"/>
      <c r="BH149" s="217"/>
      <c r="BI149" s="176"/>
      <c r="BJ149" s="176"/>
      <c r="BK149" s="176"/>
      <c r="BL149" s="176"/>
      <c r="BM149" s="176"/>
      <c r="BN149" s="176"/>
      <c r="BO149" s="176"/>
      <c r="BP149" s="176"/>
      <c r="BQ149" s="176"/>
      <c r="BR149" s="176"/>
      <c r="BS149" s="176"/>
      <c r="BT149" s="176"/>
      <c r="BU149" s="176"/>
      <c r="BV149" s="176"/>
      <c r="BW149" s="176"/>
      <c r="BX149" s="176"/>
      <c r="BY149" s="176"/>
      <c r="BZ149" s="176"/>
      <c r="CA149" s="176"/>
      <c r="CB149" s="176"/>
      <c r="CC149" s="341"/>
      <c r="CD149" s="176"/>
      <c r="CE149" s="176"/>
      <c r="CF149" s="176"/>
      <c r="CG149" s="176"/>
      <c r="CH149" s="176"/>
      <c r="CI149" s="176"/>
      <c r="CJ149" s="176"/>
      <c r="CK149" s="176"/>
      <c r="CL149" s="176"/>
      <c r="CM149" s="176"/>
      <c r="CN149" s="176"/>
      <c r="CO149" s="176"/>
      <c r="CP149" s="176"/>
      <c r="CQ149" s="176"/>
      <c r="CR149" s="176"/>
      <c r="CS149" s="176"/>
      <c r="CT149" s="176"/>
      <c r="CU149" s="176"/>
      <c r="CV149" s="176"/>
      <c r="CW149" s="176"/>
      <c r="DE149" s="186"/>
    </row>
    <row r="150" spans="1:101" ht="10.5" customHeight="1">
      <c r="A150" s="393"/>
      <c r="B150" s="393"/>
      <c r="C150" s="393"/>
      <c r="D150" s="393"/>
      <c r="E150" s="393"/>
      <c r="F150" s="393"/>
      <c r="G150" s="393"/>
      <c r="H150" s="394"/>
      <c r="I150" s="394"/>
      <c r="J150" s="394"/>
      <c r="K150" s="394"/>
      <c r="L150" s="394"/>
      <c r="M150" s="394"/>
      <c r="N150" s="394"/>
      <c r="O150" s="394"/>
      <c r="P150" s="394"/>
      <c r="Q150" s="394"/>
      <c r="R150" s="394"/>
      <c r="S150" s="394"/>
      <c r="T150" s="395"/>
      <c r="U150" s="395"/>
      <c r="V150" s="395"/>
      <c r="W150" s="396"/>
      <c r="X150" s="396"/>
      <c r="Y150" s="396"/>
      <c r="Z150" s="396"/>
      <c r="AA150" s="394"/>
      <c r="AB150" s="394"/>
      <c r="AC150" s="394"/>
      <c r="AD150" s="394"/>
      <c r="AE150" s="394"/>
      <c r="AF150" s="394"/>
      <c r="AG150" s="394"/>
      <c r="AH150" s="394"/>
      <c r="AI150" s="394"/>
      <c r="AJ150" s="394"/>
      <c r="AK150" s="394"/>
      <c r="AL150" s="394"/>
      <c r="AM150" s="397"/>
      <c r="AN150" s="397"/>
      <c r="AO150" s="397"/>
      <c r="AP150" s="397"/>
      <c r="AQ150" s="397"/>
      <c r="AR150" s="397"/>
      <c r="AS150" s="394"/>
      <c r="AT150" s="394"/>
      <c r="AU150" s="394"/>
      <c r="AV150" s="394"/>
      <c r="AW150" s="394"/>
      <c r="AX150" s="394"/>
      <c r="AY150" s="394"/>
      <c r="AZ150" s="394"/>
      <c r="BA150" s="394"/>
      <c r="BB150" s="394"/>
      <c r="BC150" s="394"/>
      <c r="BD150" s="394"/>
      <c r="BE150" s="176"/>
      <c r="BF150" s="176"/>
      <c r="BG150" s="176"/>
      <c r="BH150" s="218"/>
      <c r="BI150" s="176"/>
      <c r="BY150" s="219"/>
      <c r="CC150" s="340"/>
      <c r="CR150" s="176"/>
      <c r="CS150" s="176"/>
      <c r="CT150" s="176"/>
      <c r="CU150" s="176"/>
      <c r="CV150" s="176"/>
      <c r="CW150" s="176"/>
    </row>
    <row r="151" spans="1:114" ht="10.5" customHeight="1">
      <c r="A151" s="393"/>
      <c r="B151" s="393"/>
      <c r="C151" s="393"/>
      <c r="D151" s="393"/>
      <c r="E151" s="393"/>
      <c r="F151" s="393"/>
      <c r="G151" s="393"/>
      <c r="H151" s="394"/>
      <c r="I151" s="394"/>
      <c r="J151" s="394"/>
      <c r="K151" s="394"/>
      <c r="L151" s="394"/>
      <c r="M151" s="394"/>
      <c r="N151" s="394"/>
      <c r="O151" s="394"/>
      <c r="P151" s="394"/>
      <c r="Q151" s="394"/>
      <c r="R151" s="394"/>
      <c r="S151" s="394"/>
      <c r="T151" s="395"/>
      <c r="U151" s="395"/>
      <c r="V151" s="395"/>
      <c r="W151" s="396"/>
      <c r="X151" s="396"/>
      <c r="Y151" s="396"/>
      <c r="Z151" s="396"/>
      <c r="AA151" s="394"/>
      <c r="AB151" s="394"/>
      <c r="AC151" s="394"/>
      <c r="AD151" s="394"/>
      <c r="AE151" s="394"/>
      <c r="AF151" s="394"/>
      <c r="AG151" s="394"/>
      <c r="AH151" s="394"/>
      <c r="AI151" s="394"/>
      <c r="AJ151" s="394"/>
      <c r="AK151" s="394"/>
      <c r="AL151" s="394"/>
      <c r="AM151" s="397"/>
      <c r="AN151" s="397"/>
      <c r="AO151" s="397"/>
      <c r="AP151" s="397"/>
      <c r="AQ151" s="397"/>
      <c r="AR151" s="397"/>
      <c r="AS151" s="394"/>
      <c r="AT151" s="394"/>
      <c r="AU151" s="394"/>
      <c r="AV151" s="394"/>
      <c r="AW151" s="394"/>
      <c r="AX151" s="394"/>
      <c r="AY151" s="394"/>
      <c r="AZ151" s="394"/>
      <c r="BA151" s="394"/>
      <c r="BB151" s="394"/>
      <c r="BC151" s="394"/>
      <c r="BD151" s="394"/>
      <c r="BE151" s="176"/>
      <c r="BF151" s="176"/>
      <c r="CX151" s="221"/>
      <c r="CY151" s="221"/>
      <c r="CZ151" s="221"/>
      <c r="DA151" s="221"/>
      <c r="DB151" s="221"/>
      <c r="DC151" s="353"/>
      <c r="DD151" s="353"/>
      <c r="DE151" s="353"/>
      <c r="DF151" s="353"/>
      <c r="DG151" s="353"/>
      <c r="DH151" s="353"/>
      <c r="DI151" s="353"/>
      <c r="DJ151" s="348"/>
    </row>
    <row r="152" spans="1:114" ht="10.5" customHeight="1">
      <c r="A152" s="397"/>
      <c r="B152" s="397"/>
      <c r="C152" s="397"/>
      <c r="D152" s="397"/>
      <c r="E152" s="397"/>
      <c r="F152" s="397"/>
      <c r="G152" s="397"/>
      <c r="H152" s="394"/>
      <c r="I152" s="394"/>
      <c r="J152" s="394"/>
      <c r="K152" s="394"/>
      <c r="L152" s="394"/>
      <c r="M152" s="394"/>
      <c r="N152" s="394"/>
      <c r="O152" s="394"/>
      <c r="P152" s="394"/>
      <c r="Q152" s="394"/>
      <c r="R152" s="394"/>
      <c r="S152" s="394"/>
      <c r="T152" s="397"/>
      <c r="U152" s="397"/>
      <c r="V152" s="397"/>
      <c r="W152" s="397"/>
      <c r="X152" s="397"/>
      <c r="Y152" s="397"/>
      <c r="Z152" s="397"/>
      <c r="AA152" s="394"/>
      <c r="AB152" s="394"/>
      <c r="AC152" s="394"/>
      <c r="AD152" s="394"/>
      <c r="AE152" s="394"/>
      <c r="AF152" s="394"/>
      <c r="AG152" s="394"/>
      <c r="AH152" s="394"/>
      <c r="AI152" s="394"/>
      <c r="AJ152" s="394"/>
      <c r="AK152" s="394"/>
      <c r="AL152" s="394"/>
      <c r="AM152" s="398"/>
      <c r="AN152" s="398"/>
      <c r="AO152" s="398"/>
      <c r="AP152" s="398"/>
      <c r="AQ152" s="398"/>
      <c r="AR152" s="398"/>
      <c r="AS152" s="398"/>
      <c r="AT152" s="240"/>
      <c r="AU152" s="240"/>
      <c r="AV152" s="240"/>
      <c r="AW152" s="240"/>
      <c r="AX152" s="240"/>
      <c r="AY152" s="240"/>
      <c r="AZ152" s="240"/>
      <c r="BA152" s="240"/>
      <c r="BB152" s="240"/>
      <c r="BC152" s="240"/>
      <c r="BD152" s="240"/>
      <c r="BE152" s="176"/>
      <c r="BF152" s="176"/>
      <c r="CX152" s="221"/>
      <c r="CY152" s="221"/>
      <c r="CZ152" s="221"/>
      <c r="DA152" s="221"/>
      <c r="DB152" s="221"/>
      <c r="DC152" s="353"/>
      <c r="DD152" s="353"/>
      <c r="DE152" s="353"/>
      <c r="DF152" s="353"/>
      <c r="DG152" s="353"/>
      <c r="DH152" s="353"/>
      <c r="DI152" s="353"/>
      <c r="DJ152" s="348"/>
    </row>
    <row r="153" spans="1:114" ht="10.5" customHeight="1">
      <c r="A153" s="397"/>
      <c r="B153" s="397"/>
      <c r="C153" s="397"/>
      <c r="D153" s="397"/>
      <c r="E153" s="397"/>
      <c r="F153" s="397"/>
      <c r="G153" s="397"/>
      <c r="H153" s="394"/>
      <c r="I153" s="394"/>
      <c r="J153" s="394"/>
      <c r="K153" s="394"/>
      <c r="L153" s="394"/>
      <c r="M153" s="394"/>
      <c r="N153" s="394"/>
      <c r="O153" s="394"/>
      <c r="P153" s="394"/>
      <c r="Q153" s="394"/>
      <c r="R153" s="394"/>
      <c r="S153" s="394"/>
      <c r="T153" s="397"/>
      <c r="U153" s="397"/>
      <c r="V153" s="397"/>
      <c r="W153" s="397"/>
      <c r="X153" s="397"/>
      <c r="Y153" s="397"/>
      <c r="Z153" s="397"/>
      <c r="AA153" s="394"/>
      <c r="AB153" s="394"/>
      <c r="AC153" s="394"/>
      <c r="AD153" s="394"/>
      <c r="AE153" s="394"/>
      <c r="AF153" s="394"/>
      <c r="AG153" s="394"/>
      <c r="AH153" s="394"/>
      <c r="AI153" s="394"/>
      <c r="AJ153" s="394"/>
      <c r="AK153" s="394"/>
      <c r="AL153" s="394"/>
      <c r="AM153" s="240"/>
      <c r="AN153" s="240"/>
      <c r="AO153" s="240"/>
      <c r="AP153" s="240"/>
      <c r="AQ153" s="240"/>
      <c r="AR153" s="240"/>
      <c r="AS153" s="240"/>
      <c r="AT153" s="240"/>
      <c r="AU153" s="240"/>
      <c r="AV153" s="240"/>
      <c r="AW153" s="240"/>
      <c r="AX153" s="240"/>
      <c r="AY153" s="240"/>
      <c r="AZ153" s="240"/>
      <c r="BA153" s="240"/>
      <c r="BB153" s="240"/>
      <c r="BC153" s="240"/>
      <c r="BD153" s="240"/>
      <c r="BE153" s="176"/>
      <c r="BF153" s="176"/>
      <c r="CX153" s="221"/>
      <c r="CY153" s="221"/>
      <c r="CZ153" s="221"/>
      <c r="DA153" s="221"/>
      <c r="DB153" s="221"/>
      <c r="DC153" s="353"/>
      <c r="DD153" s="353"/>
      <c r="DE153" s="353"/>
      <c r="DF153" s="353"/>
      <c r="DG153" s="353"/>
      <c r="DH153" s="353"/>
      <c r="DI153" s="353"/>
      <c r="DJ153" s="348"/>
    </row>
    <row r="154" spans="1:114" ht="10.5" customHeight="1">
      <c r="A154" s="240"/>
      <c r="B154" s="240"/>
      <c r="C154" s="240"/>
      <c r="D154" s="240"/>
      <c r="E154" s="240"/>
      <c r="F154" s="240"/>
      <c r="G154" s="240"/>
      <c r="H154" s="240"/>
      <c r="I154" s="240"/>
      <c r="J154" s="240"/>
      <c r="K154" s="240"/>
      <c r="L154" s="240"/>
      <c r="M154" s="240"/>
      <c r="N154" s="240"/>
      <c r="O154" s="240"/>
      <c r="P154" s="240"/>
      <c r="Q154" s="240"/>
      <c r="R154" s="240"/>
      <c r="S154" s="240"/>
      <c r="T154" s="240"/>
      <c r="U154" s="240"/>
      <c r="V154" s="240"/>
      <c r="W154" s="240"/>
      <c r="X154" s="240"/>
      <c r="Y154" s="240"/>
      <c r="Z154" s="240"/>
      <c r="AA154" s="240"/>
      <c r="AB154" s="240"/>
      <c r="AC154" s="240"/>
      <c r="AD154" s="240"/>
      <c r="AE154" s="240"/>
      <c r="AF154" s="240"/>
      <c r="AG154" s="240"/>
      <c r="AH154" s="240"/>
      <c r="AI154" s="240"/>
      <c r="AJ154" s="240"/>
      <c r="AK154" s="240"/>
      <c r="AL154" s="240"/>
      <c r="AM154" s="240"/>
      <c r="AN154" s="240"/>
      <c r="AO154" s="240"/>
      <c r="AP154" s="240"/>
      <c r="AQ154" s="240"/>
      <c r="AR154" s="240"/>
      <c r="AS154" s="240"/>
      <c r="AT154" s="240"/>
      <c r="AU154" s="240"/>
      <c r="AV154" s="240"/>
      <c r="AW154" s="240"/>
      <c r="AX154" s="240"/>
      <c r="AY154" s="240"/>
      <c r="AZ154" s="240"/>
      <c r="BA154" s="240"/>
      <c r="BB154" s="240"/>
      <c r="BC154" s="240"/>
      <c r="BD154" s="240"/>
      <c r="BE154" s="176"/>
      <c r="BF154" s="176"/>
      <c r="CX154" s="221"/>
      <c r="CY154" s="221"/>
      <c r="CZ154" s="221"/>
      <c r="DA154" s="221"/>
      <c r="DB154" s="221"/>
      <c r="DC154" s="353"/>
      <c r="DD154" s="353"/>
      <c r="DE154" s="353"/>
      <c r="DF154" s="353"/>
      <c r="DG154" s="353"/>
      <c r="DH154" s="353"/>
      <c r="DI154" s="353"/>
      <c r="DJ154" s="348"/>
    </row>
    <row r="155" spans="1:114" ht="10.5" customHeight="1">
      <c r="A155" s="241"/>
      <c r="B155" s="399"/>
      <c r="C155" s="399"/>
      <c r="D155" s="399"/>
      <c r="E155" s="399"/>
      <c r="F155" s="399"/>
      <c r="G155" s="399"/>
      <c r="H155" s="400"/>
      <c r="I155" s="400"/>
      <c r="J155" s="401"/>
      <c r="K155" s="401"/>
      <c r="L155" s="401"/>
      <c r="M155" s="400"/>
      <c r="N155" s="400"/>
      <c r="O155" s="393"/>
      <c r="P155" s="393"/>
      <c r="Q155" s="393"/>
      <c r="R155" s="402"/>
      <c r="S155" s="402"/>
      <c r="T155" s="402"/>
      <c r="U155" s="402"/>
      <c r="V155" s="403"/>
      <c r="W155" s="403"/>
      <c r="X155" s="403"/>
      <c r="Y155" s="403"/>
      <c r="Z155" s="403"/>
      <c r="AA155" s="402"/>
      <c r="AB155" s="402"/>
      <c r="AC155" s="402"/>
      <c r="AD155" s="402"/>
      <c r="AE155" s="404"/>
      <c r="AF155" s="404"/>
      <c r="AG155" s="404"/>
      <c r="AH155" s="404"/>
      <c r="AI155" s="404"/>
      <c r="AJ155" s="404"/>
      <c r="AK155" s="402"/>
      <c r="AL155" s="402"/>
      <c r="AM155" s="402"/>
      <c r="AN155" s="402"/>
      <c r="AO155" s="393"/>
      <c r="AP155" s="393"/>
      <c r="AQ155" s="393"/>
      <c r="AR155" s="393"/>
      <c r="AS155" s="393"/>
      <c r="AT155" s="402"/>
      <c r="AU155" s="402"/>
      <c r="AV155" s="402"/>
      <c r="AW155" s="402"/>
      <c r="AX155" s="393"/>
      <c r="AY155" s="393"/>
      <c r="AZ155" s="393"/>
      <c r="BA155" s="393"/>
      <c r="BB155" s="393"/>
      <c r="BC155" s="400"/>
      <c r="BD155" s="400"/>
      <c r="BE155" s="176"/>
      <c r="BF155" s="176"/>
      <c r="CX155" s="221"/>
      <c r="CY155" s="221"/>
      <c r="CZ155" s="221"/>
      <c r="DA155" s="221"/>
      <c r="DB155" s="221"/>
      <c r="DC155" s="353"/>
      <c r="DD155" s="353"/>
      <c r="DE155" s="353"/>
      <c r="DF155" s="353"/>
      <c r="DG155" s="353"/>
      <c r="DH155" s="353"/>
      <c r="DI155" s="353"/>
      <c r="DJ155" s="348"/>
    </row>
    <row r="156" spans="1:114" ht="10.5" customHeight="1">
      <c r="A156" s="399"/>
      <c r="B156" s="399"/>
      <c r="C156" s="399"/>
      <c r="D156" s="399"/>
      <c r="E156" s="399"/>
      <c r="F156" s="399"/>
      <c r="G156" s="399"/>
      <c r="H156" s="400"/>
      <c r="I156" s="400"/>
      <c r="J156" s="401"/>
      <c r="K156" s="401"/>
      <c r="L156" s="401"/>
      <c r="M156" s="400"/>
      <c r="N156" s="400"/>
      <c r="O156" s="393"/>
      <c r="P156" s="393"/>
      <c r="Q156" s="393"/>
      <c r="R156" s="402"/>
      <c r="S156" s="402"/>
      <c r="T156" s="402"/>
      <c r="U156" s="402"/>
      <c r="V156" s="403"/>
      <c r="W156" s="403"/>
      <c r="X156" s="403"/>
      <c r="Y156" s="403"/>
      <c r="Z156" s="403"/>
      <c r="AA156" s="402"/>
      <c r="AB156" s="402"/>
      <c r="AC156" s="402"/>
      <c r="AD156" s="402"/>
      <c r="AE156" s="404"/>
      <c r="AF156" s="404"/>
      <c r="AG156" s="404"/>
      <c r="AH156" s="404"/>
      <c r="AI156" s="404"/>
      <c r="AJ156" s="404"/>
      <c r="AK156" s="402"/>
      <c r="AL156" s="402"/>
      <c r="AM156" s="402"/>
      <c r="AN156" s="402"/>
      <c r="AO156" s="393"/>
      <c r="AP156" s="393"/>
      <c r="AQ156" s="393"/>
      <c r="AR156" s="393"/>
      <c r="AS156" s="393"/>
      <c r="AT156" s="402"/>
      <c r="AU156" s="402"/>
      <c r="AV156" s="402"/>
      <c r="AW156" s="402"/>
      <c r="AX156" s="393"/>
      <c r="AY156" s="393"/>
      <c r="AZ156" s="393"/>
      <c r="BA156" s="393"/>
      <c r="BB156" s="393"/>
      <c r="BC156" s="400"/>
      <c r="BD156" s="400"/>
      <c r="BE156" s="176"/>
      <c r="BF156" s="176"/>
      <c r="CX156" s="221"/>
      <c r="CY156" s="221"/>
      <c r="CZ156" s="221"/>
      <c r="DA156" s="221"/>
      <c r="DB156" s="221"/>
      <c r="DC156" s="353"/>
      <c r="DD156" s="353"/>
      <c r="DE156" s="353"/>
      <c r="DF156" s="353"/>
      <c r="DG156" s="353"/>
      <c r="DH156" s="353"/>
      <c r="DI156" s="353"/>
      <c r="DJ156" s="348"/>
    </row>
    <row r="157" spans="1:106" ht="9.75" customHeight="1">
      <c r="A157" s="220"/>
      <c r="B157" s="220"/>
      <c r="C157" s="220"/>
      <c r="D157" s="220"/>
      <c r="E157" s="220"/>
      <c r="F157" s="220"/>
      <c r="G157" s="221"/>
      <c r="H157" s="221"/>
      <c r="I157" s="221"/>
      <c r="J157" s="221"/>
      <c r="K157" s="221"/>
      <c r="L157" s="221"/>
      <c r="M157" s="221"/>
      <c r="N157" s="221"/>
      <c r="O157" s="221"/>
      <c r="P157" s="221"/>
      <c r="Q157" s="221"/>
      <c r="R157" s="221"/>
      <c r="S157" s="221"/>
      <c r="T157" s="221"/>
      <c r="U157" s="221"/>
      <c r="V157" s="221"/>
      <c r="W157" s="221"/>
      <c r="X157" s="221"/>
      <c r="Y157" s="221"/>
      <c r="Z157" s="221"/>
      <c r="AA157" s="221"/>
      <c r="AB157" s="221"/>
      <c r="AC157" s="221"/>
      <c r="AD157" s="221"/>
      <c r="AE157" s="221"/>
      <c r="AF157" s="221"/>
      <c r="AG157" s="221"/>
      <c r="AH157" s="221"/>
      <c r="AI157" s="221"/>
      <c r="AJ157" s="221"/>
      <c r="AK157" s="221"/>
      <c r="AL157" s="221"/>
      <c r="AM157" s="221"/>
      <c r="AN157" s="221"/>
      <c r="AO157" s="221"/>
      <c r="AP157" s="221"/>
      <c r="AQ157" s="221"/>
      <c r="AR157" s="221"/>
      <c r="AS157" s="221"/>
      <c r="AT157" s="221"/>
      <c r="AU157" s="221"/>
      <c r="AV157" s="221"/>
      <c r="AW157" s="221"/>
      <c r="AX157" s="221"/>
      <c r="AY157" s="221"/>
      <c r="AZ157" s="221"/>
      <c r="BA157" s="221"/>
      <c r="BB157" s="221"/>
      <c r="BC157" s="221"/>
      <c r="BD157" s="221"/>
      <c r="BE157" s="176"/>
      <c r="BF157" s="176"/>
      <c r="BG157" s="176"/>
      <c r="BH157" s="218"/>
      <c r="BI157" s="176"/>
      <c r="CX157" s="343"/>
      <c r="CY157" s="343"/>
      <c r="CZ157" s="343"/>
      <c r="DA157" s="343"/>
      <c r="DB157" s="343"/>
    </row>
    <row r="158" spans="8:102" ht="9.75" customHeight="1" thickBot="1">
      <c r="H158" s="188"/>
      <c r="AV158" s="201"/>
      <c r="AW158" s="201"/>
      <c r="AX158" s="201"/>
      <c r="AY158" s="201"/>
      <c r="AZ158" s="201"/>
      <c r="BA158" s="201"/>
      <c r="BB158" s="201"/>
      <c r="BC158" s="201"/>
      <c r="BD158" s="201"/>
      <c r="BE158" s="176"/>
      <c r="BF158" s="176"/>
      <c r="BG158" s="176"/>
      <c r="BH158" s="218"/>
      <c r="BI158" s="176"/>
      <c r="BJ158" s="176"/>
      <c r="BK158" s="176"/>
      <c r="BL158" s="176"/>
      <c r="BM158" s="176"/>
      <c r="BN158" s="176"/>
      <c r="BO158" s="176"/>
      <c r="BP158" s="176"/>
      <c r="BQ158" s="176"/>
      <c r="BR158" s="176"/>
      <c r="BS158" s="176"/>
      <c r="BT158" s="176"/>
      <c r="BU158" s="176"/>
      <c r="BV158" s="176"/>
      <c r="BW158" s="176"/>
      <c r="BX158" s="176"/>
      <c r="CX158" s="345"/>
    </row>
    <row r="159" spans="1:102" ht="10.5" customHeight="1">
      <c r="A159" s="1512" t="s">
        <v>878</v>
      </c>
      <c r="B159" s="1513"/>
      <c r="C159" s="1513"/>
      <c r="D159" s="1513"/>
      <c r="E159" s="1513"/>
      <c r="F159" s="1513"/>
      <c r="G159" s="1513"/>
      <c r="H159" s="222"/>
      <c r="I159" s="1506">
        <f>IF('能力'!C68=0,"",'能力'!C68)</f>
      </c>
      <c r="J159" s="1507"/>
      <c r="K159" s="1507"/>
      <c r="L159" s="1507"/>
      <c r="M159" s="1507"/>
      <c r="N159" s="1507"/>
      <c r="O159" s="1507"/>
      <c r="P159" s="1507"/>
      <c r="Q159" s="1507"/>
      <c r="R159" s="1507"/>
      <c r="S159" s="1507"/>
      <c r="T159" s="1508"/>
      <c r="U159" s="484"/>
      <c r="V159" s="485"/>
      <c r="W159" s="1523" t="s">
        <v>3</v>
      </c>
      <c r="X159" s="1523"/>
      <c r="Y159" s="1523"/>
      <c r="Z159" s="1523"/>
      <c r="AA159" s="1524">
        <v>0</v>
      </c>
      <c r="AB159" s="1524"/>
      <c r="AC159" s="1524"/>
      <c r="AD159" s="1524"/>
      <c r="AE159" s="486"/>
      <c r="AF159" s="1524">
        <v>1</v>
      </c>
      <c r="AG159" s="1524"/>
      <c r="AH159" s="1524"/>
      <c r="AI159" s="1524"/>
      <c r="AJ159" s="486"/>
      <c r="AK159" s="1524">
        <v>2</v>
      </c>
      <c r="AL159" s="1524"/>
      <c r="AM159" s="1524"/>
      <c r="AN159" s="1524"/>
      <c r="AO159" s="487"/>
      <c r="AP159" s="1524">
        <v>3</v>
      </c>
      <c r="AQ159" s="1524"/>
      <c r="AR159" s="1524"/>
      <c r="AS159" s="1524"/>
      <c r="AT159" s="487"/>
      <c r="AU159" s="1524">
        <v>4</v>
      </c>
      <c r="AV159" s="1524"/>
      <c r="AW159" s="1524"/>
      <c r="AX159" s="1524"/>
      <c r="AY159" s="486"/>
      <c r="AZ159" s="1524">
        <v>5</v>
      </c>
      <c r="BA159" s="1524"/>
      <c r="BB159" s="1524"/>
      <c r="BC159" s="1524"/>
      <c r="BD159" s="486"/>
      <c r="BE159" s="1524">
        <v>6</v>
      </c>
      <c r="BF159" s="1524"/>
      <c r="BG159" s="1524"/>
      <c r="BH159" s="1524"/>
      <c r="BI159" s="486"/>
      <c r="BJ159" s="1524">
        <v>7</v>
      </c>
      <c r="BK159" s="1524"/>
      <c r="BL159" s="1524"/>
      <c r="BM159" s="1524"/>
      <c r="BN159" s="486"/>
      <c r="BO159" s="1524">
        <v>8</v>
      </c>
      <c r="BP159" s="1524"/>
      <c r="BQ159" s="1524"/>
      <c r="BR159" s="1524"/>
      <c r="BS159" s="486"/>
      <c r="BT159" s="1524">
        <v>9</v>
      </c>
      <c r="BU159" s="1524"/>
      <c r="BV159" s="1524"/>
      <c r="BW159" s="1524"/>
      <c r="BX159" s="485"/>
      <c r="BY159" s="488" t="s">
        <v>684</v>
      </c>
      <c r="BZ159" s="489"/>
      <c r="CA159" s="489"/>
      <c r="CB159" s="489"/>
      <c r="CC159" s="489"/>
      <c r="CD159" s="489"/>
      <c r="CE159" s="489"/>
      <c r="CF159" s="489"/>
      <c r="CG159" s="441"/>
      <c r="CH159" s="441"/>
      <c r="CI159" s="441"/>
      <c r="CJ159" s="441"/>
      <c r="CK159" s="441"/>
      <c r="CL159" s="441"/>
      <c r="CM159" s="441"/>
      <c r="CN159" s="441"/>
      <c r="CO159" s="490" t="s">
        <v>685</v>
      </c>
      <c r="CP159" s="441"/>
      <c r="CQ159" s="441"/>
      <c r="CR159" s="441"/>
      <c r="CS159" s="441"/>
      <c r="CT159" s="441"/>
      <c r="CU159" s="491"/>
      <c r="CV159" s="485"/>
      <c r="CW159" s="485"/>
      <c r="CX159" s="345"/>
    </row>
    <row r="160" spans="1:102" ht="10.5" customHeight="1" thickBot="1">
      <c r="A160" s="1512"/>
      <c r="B160" s="1513"/>
      <c r="C160" s="1513"/>
      <c r="D160" s="1513"/>
      <c r="E160" s="1513"/>
      <c r="F160" s="1513"/>
      <c r="G160" s="1513"/>
      <c r="H160" s="222"/>
      <c r="I160" s="1509"/>
      <c r="J160" s="1510"/>
      <c r="K160" s="1510"/>
      <c r="L160" s="1510"/>
      <c r="M160" s="1510"/>
      <c r="N160" s="1510"/>
      <c r="O160" s="1510"/>
      <c r="P160" s="1510"/>
      <c r="Q160" s="1510"/>
      <c r="R160" s="1510"/>
      <c r="S160" s="1510"/>
      <c r="T160" s="1511"/>
      <c r="U160" s="484"/>
      <c r="V160" s="485"/>
      <c r="W160" s="1523"/>
      <c r="X160" s="1523"/>
      <c r="Y160" s="1523"/>
      <c r="Z160" s="1523"/>
      <c r="AA160" s="1524"/>
      <c r="AB160" s="1524"/>
      <c r="AC160" s="1524"/>
      <c r="AD160" s="1524"/>
      <c r="AE160" s="486"/>
      <c r="AF160" s="1524"/>
      <c r="AG160" s="1524"/>
      <c r="AH160" s="1524"/>
      <c r="AI160" s="1524"/>
      <c r="AJ160" s="486"/>
      <c r="AK160" s="1524"/>
      <c r="AL160" s="1524"/>
      <c r="AM160" s="1524"/>
      <c r="AN160" s="1524"/>
      <c r="AO160" s="487"/>
      <c r="AP160" s="1524"/>
      <c r="AQ160" s="1524"/>
      <c r="AR160" s="1524"/>
      <c r="AS160" s="1524"/>
      <c r="AT160" s="487"/>
      <c r="AU160" s="1524"/>
      <c r="AV160" s="1524"/>
      <c r="AW160" s="1524"/>
      <c r="AX160" s="1524"/>
      <c r="AY160" s="486"/>
      <c r="AZ160" s="1524"/>
      <c r="BA160" s="1524"/>
      <c r="BB160" s="1524"/>
      <c r="BC160" s="1524"/>
      <c r="BD160" s="486"/>
      <c r="BE160" s="1524"/>
      <c r="BF160" s="1524"/>
      <c r="BG160" s="1524"/>
      <c r="BH160" s="1524"/>
      <c r="BI160" s="486"/>
      <c r="BJ160" s="1524"/>
      <c r="BK160" s="1524"/>
      <c r="BL160" s="1524"/>
      <c r="BM160" s="1524"/>
      <c r="BN160" s="486"/>
      <c r="BO160" s="1524"/>
      <c r="BP160" s="1524"/>
      <c r="BQ160" s="1524"/>
      <c r="BR160" s="1524"/>
      <c r="BS160" s="486"/>
      <c r="BT160" s="1524"/>
      <c r="BU160" s="1524"/>
      <c r="BV160" s="1524"/>
      <c r="BW160" s="1524"/>
      <c r="BX160" s="485"/>
      <c r="BY160" s="1607">
        <f>IF('呪文1'!L2=0,"",'呪文1'!L2)</f>
      </c>
      <c r="BZ160" s="1608"/>
      <c r="CA160" s="1608"/>
      <c r="CB160" s="1608"/>
      <c r="CC160" s="1608"/>
      <c r="CD160" s="1608"/>
      <c r="CE160" s="1608"/>
      <c r="CF160" s="1608"/>
      <c r="CG160" s="1608"/>
      <c r="CH160" s="1608"/>
      <c r="CI160" s="1608"/>
      <c r="CJ160" s="1608"/>
      <c r="CK160" s="1608"/>
      <c r="CL160" s="1608"/>
      <c r="CM160" s="1609"/>
      <c r="CN160" s="441"/>
      <c r="CO160" s="1607">
        <f>IF('呪文1'!L4=0,"",'呪文1'!L4)</f>
      </c>
      <c r="CP160" s="1608"/>
      <c r="CQ160" s="1608"/>
      <c r="CR160" s="1608"/>
      <c r="CS160" s="1608"/>
      <c r="CT160" s="1608"/>
      <c r="CU160" s="1608"/>
      <c r="CV160" s="1608"/>
      <c r="CW160" s="1609"/>
      <c r="CX160" s="345"/>
    </row>
    <row r="161" spans="1:102" ht="10.5" customHeight="1" thickBot="1">
      <c r="A161" s="1512" t="s">
        <v>879</v>
      </c>
      <c r="B161" s="1513"/>
      <c r="C161" s="1513"/>
      <c r="D161" s="1513"/>
      <c r="E161" s="1513"/>
      <c r="F161" s="1513"/>
      <c r="G161" s="1513"/>
      <c r="H161" s="222"/>
      <c r="I161" s="1533">
        <f>IF('能力'!L68=0,"",'能力'!L68)</f>
      </c>
      <c r="J161" s="1534"/>
      <c r="K161" s="1534"/>
      <c r="L161" s="1535"/>
      <c r="M161" s="484"/>
      <c r="N161" s="484"/>
      <c r="O161" s="484"/>
      <c r="P161" s="484"/>
      <c r="Q161" s="484"/>
      <c r="R161" s="484"/>
      <c r="S161" s="484"/>
      <c r="T161" s="484"/>
      <c r="U161" s="484"/>
      <c r="V161" s="485"/>
      <c r="W161" s="1523" t="s">
        <v>686</v>
      </c>
      <c r="X161" s="1523"/>
      <c r="Y161" s="1523"/>
      <c r="Z161" s="1540"/>
      <c r="AA161" s="1517" t="e">
        <f>$R$163+AA159+10</f>
        <v>#VALUE!</v>
      </c>
      <c r="AB161" s="1518"/>
      <c r="AC161" s="1518"/>
      <c r="AD161" s="1519"/>
      <c r="AE161" s="492"/>
      <c r="AF161" s="1517" t="e">
        <f>$R$163+AF159+10</f>
        <v>#VALUE!</v>
      </c>
      <c r="AG161" s="1518"/>
      <c r="AH161" s="1518"/>
      <c r="AI161" s="1519"/>
      <c r="AJ161" s="493"/>
      <c r="AK161" s="1517" t="e">
        <f>$R$163+AK159+10</f>
        <v>#VALUE!</v>
      </c>
      <c r="AL161" s="1518"/>
      <c r="AM161" s="1518"/>
      <c r="AN161" s="1519"/>
      <c r="AO161" s="492"/>
      <c r="AP161" s="1517" t="e">
        <f>$R$163+AP159+10</f>
        <v>#VALUE!</v>
      </c>
      <c r="AQ161" s="1518"/>
      <c r="AR161" s="1518"/>
      <c r="AS161" s="1519"/>
      <c r="AT161" s="492"/>
      <c r="AU161" s="1517" t="e">
        <f>$R$163+AU159+10</f>
        <v>#VALUE!</v>
      </c>
      <c r="AV161" s="1518"/>
      <c r="AW161" s="1518"/>
      <c r="AX161" s="1519"/>
      <c r="AY161" s="493"/>
      <c r="AZ161" s="1517" t="e">
        <f>$R$163+AZ159+10</f>
        <v>#VALUE!</v>
      </c>
      <c r="BA161" s="1518"/>
      <c r="BB161" s="1518"/>
      <c r="BC161" s="1519"/>
      <c r="BD161" s="493"/>
      <c r="BE161" s="1517" t="e">
        <f>$R$163+BE159+10</f>
        <v>#VALUE!</v>
      </c>
      <c r="BF161" s="1518"/>
      <c r="BG161" s="1518"/>
      <c r="BH161" s="1519"/>
      <c r="BI161" s="493"/>
      <c r="BJ161" s="1517" t="e">
        <f>$R$163+BJ159+10</f>
        <v>#VALUE!</v>
      </c>
      <c r="BK161" s="1518"/>
      <c r="BL161" s="1518"/>
      <c r="BM161" s="1519"/>
      <c r="BN161" s="493"/>
      <c r="BO161" s="1517" t="e">
        <f>$R$163+BO159+10</f>
        <v>#VALUE!</v>
      </c>
      <c r="BP161" s="1518"/>
      <c r="BQ161" s="1518"/>
      <c r="BR161" s="1519"/>
      <c r="BS161" s="493"/>
      <c r="BT161" s="1517" t="e">
        <f>$R$163+BT159+10</f>
        <v>#VALUE!</v>
      </c>
      <c r="BU161" s="1518"/>
      <c r="BV161" s="1518"/>
      <c r="BW161" s="1519"/>
      <c r="BX161" s="485"/>
      <c r="BY161" s="1610"/>
      <c r="BZ161" s="1611"/>
      <c r="CA161" s="1611"/>
      <c r="CB161" s="1611"/>
      <c r="CC161" s="1611"/>
      <c r="CD161" s="1611"/>
      <c r="CE161" s="1611"/>
      <c r="CF161" s="1611"/>
      <c r="CG161" s="1611"/>
      <c r="CH161" s="1611"/>
      <c r="CI161" s="1611"/>
      <c r="CJ161" s="1611"/>
      <c r="CK161" s="1611"/>
      <c r="CL161" s="1611"/>
      <c r="CM161" s="1612"/>
      <c r="CN161" s="441"/>
      <c r="CO161" s="1610"/>
      <c r="CP161" s="1611"/>
      <c r="CQ161" s="1611"/>
      <c r="CR161" s="1611"/>
      <c r="CS161" s="1611"/>
      <c r="CT161" s="1611"/>
      <c r="CU161" s="1611"/>
      <c r="CV161" s="1611"/>
      <c r="CW161" s="1612"/>
      <c r="CX161" s="345"/>
    </row>
    <row r="162" spans="1:102" ht="10.5" customHeight="1" thickBot="1">
      <c r="A162" s="1512"/>
      <c r="B162" s="1513"/>
      <c r="C162" s="1513"/>
      <c r="D162" s="1513"/>
      <c r="E162" s="1513"/>
      <c r="F162" s="1513"/>
      <c r="G162" s="1513"/>
      <c r="H162" s="171"/>
      <c r="I162" s="1533"/>
      <c r="J162" s="1534"/>
      <c r="K162" s="1534"/>
      <c r="L162" s="1535"/>
      <c r="M162" s="484"/>
      <c r="N162" s="484"/>
      <c r="O162" s="484"/>
      <c r="P162" s="484"/>
      <c r="Q162" s="484"/>
      <c r="R162" s="484"/>
      <c r="S162" s="484"/>
      <c r="T162" s="484"/>
      <c r="U162" s="484"/>
      <c r="V162" s="485"/>
      <c r="W162" s="1523"/>
      <c r="X162" s="1523"/>
      <c r="Y162" s="1523"/>
      <c r="Z162" s="1540"/>
      <c r="AA162" s="1520"/>
      <c r="AB162" s="1521"/>
      <c r="AC162" s="1521"/>
      <c r="AD162" s="1522"/>
      <c r="AE162" s="493"/>
      <c r="AF162" s="1520"/>
      <c r="AG162" s="1521"/>
      <c r="AH162" s="1521"/>
      <c r="AI162" s="1522"/>
      <c r="AJ162" s="493"/>
      <c r="AK162" s="1520"/>
      <c r="AL162" s="1521"/>
      <c r="AM162" s="1521"/>
      <c r="AN162" s="1522"/>
      <c r="AO162" s="492"/>
      <c r="AP162" s="1520"/>
      <c r="AQ162" s="1521"/>
      <c r="AR162" s="1521"/>
      <c r="AS162" s="1522"/>
      <c r="AT162" s="492"/>
      <c r="AU162" s="1520"/>
      <c r="AV162" s="1521"/>
      <c r="AW162" s="1521"/>
      <c r="AX162" s="1522"/>
      <c r="AY162" s="493"/>
      <c r="AZ162" s="1520"/>
      <c r="BA162" s="1521"/>
      <c r="BB162" s="1521"/>
      <c r="BC162" s="1522"/>
      <c r="BD162" s="493"/>
      <c r="BE162" s="1520"/>
      <c r="BF162" s="1521"/>
      <c r="BG162" s="1521"/>
      <c r="BH162" s="1522"/>
      <c r="BI162" s="493"/>
      <c r="BJ162" s="1520"/>
      <c r="BK162" s="1521"/>
      <c r="BL162" s="1521"/>
      <c r="BM162" s="1522"/>
      <c r="BN162" s="493"/>
      <c r="BO162" s="1520"/>
      <c r="BP162" s="1521"/>
      <c r="BQ162" s="1521"/>
      <c r="BR162" s="1522"/>
      <c r="BS162" s="493"/>
      <c r="BT162" s="1520"/>
      <c r="BU162" s="1521"/>
      <c r="BV162" s="1521"/>
      <c r="BW162" s="1522"/>
      <c r="BX162" s="485"/>
      <c r="BY162" s="494" t="s">
        <v>687</v>
      </c>
      <c r="BZ162" s="441"/>
      <c r="CA162" s="441"/>
      <c r="CB162" s="441"/>
      <c r="CC162" s="441"/>
      <c r="CD162" s="441"/>
      <c r="CE162" s="441"/>
      <c r="CF162" s="441"/>
      <c r="CG162" s="441"/>
      <c r="CH162" s="441"/>
      <c r="CI162" s="441"/>
      <c r="CJ162" s="441"/>
      <c r="CK162" s="441"/>
      <c r="CL162" s="441"/>
      <c r="CM162" s="441"/>
      <c r="CN162" s="441"/>
      <c r="CO162" s="441"/>
      <c r="CP162" s="441"/>
      <c r="CQ162" s="441"/>
      <c r="CR162" s="441"/>
      <c r="CS162" s="441"/>
      <c r="CT162" s="441"/>
      <c r="CU162" s="441"/>
      <c r="CV162" s="441"/>
      <c r="CW162" s="441"/>
      <c r="CX162" s="345"/>
    </row>
    <row r="163" spans="1:102" ht="10.5" customHeight="1" thickBot="1">
      <c r="A163" s="1512" t="s">
        <v>880</v>
      </c>
      <c r="B163" s="1513"/>
      <c r="C163" s="1513"/>
      <c r="D163" s="1513"/>
      <c r="E163" s="1513"/>
      <c r="F163" s="1513"/>
      <c r="G163" s="1513"/>
      <c r="H163" s="161"/>
      <c r="I163" s="1495">
        <f>IF('能力'!J69=7,"",INDEX('能力'!$BU$21:$BU$27,'能力'!J69))</f>
      </c>
      <c r="J163" s="1496"/>
      <c r="K163" s="1496"/>
      <c r="L163" s="1497"/>
      <c r="M163" s="495"/>
      <c r="N163" s="1636">
        <f>IF('能力'!J69=7,"",INDEX('能力'!$I$18:$I$23,'能力'!J69))</f>
      </c>
      <c r="O163" s="1637"/>
      <c r="P163" s="1637"/>
      <c r="Q163" s="1638"/>
      <c r="R163" s="1721">
        <f>IF('能力'!J69=7,"",INDEX('能力'!$L$18:$L$23,'能力'!J69))</f>
      </c>
      <c r="S163" s="1722"/>
      <c r="T163" s="1722"/>
      <c r="U163" s="1723"/>
      <c r="V163" s="485"/>
      <c r="W163" s="1523" t="s">
        <v>688</v>
      </c>
      <c r="X163" s="1523"/>
      <c r="Y163" s="1523"/>
      <c r="Z163" s="1540"/>
      <c r="AA163" s="1485">
        <f>IF('能力'!S69=0,"",'能力'!S69)</f>
      </c>
      <c r="AB163" s="1486"/>
      <c r="AC163" s="1486"/>
      <c r="AD163" s="1487"/>
      <c r="AE163" s="486"/>
      <c r="AF163" s="1485">
        <f>IF('能力'!U69=0,"",'能力'!U69)</f>
      </c>
      <c r="AG163" s="1486"/>
      <c r="AH163" s="1486"/>
      <c r="AI163" s="1487"/>
      <c r="AJ163" s="486"/>
      <c r="AK163" s="1485">
        <f>IF('能力'!W69=0,"",'能力'!W69)</f>
      </c>
      <c r="AL163" s="1486"/>
      <c r="AM163" s="1486"/>
      <c r="AN163" s="1487"/>
      <c r="AO163" s="486"/>
      <c r="AP163" s="1485">
        <f>IF('能力'!Y69=0,"",'能力'!Y69)</f>
      </c>
      <c r="AQ163" s="1486"/>
      <c r="AR163" s="1486"/>
      <c r="AS163" s="1487"/>
      <c r="AT163" s="486"/>
      <c r="AU163" s="1485">
        <f>IF('能力'!AA69=0,"",'能力'!AA69)</f>
      </c>
      <c r="AV163" s="1486"/>
      <c r="AW163" s="1486"/>
      <c r="AX163" s="1487"/>
      <c r="AY163" s="486"/>
      <c r="AZ163" s="1485">
        <f>IF('能力'!AC69=0,"",'能力'!AC69)</f>
      </c>
      <c r="BA163" s="1486"/>
      <c r="BB163" s="1486"/>
      <c r="BC163" s="1487"/>
      <c r="BD163" s="486"/>
      <c r="BE163" s="1485">
        <f>IF('能力'!AE69=0,"",'能力'!AE69)</f>
      </c>
      <c r="BF163" s="1486"/>
      <c r="BG163" s="1486"/>
      <c r="BH163" s="1487"/>
      <c r="BI163" s="486"/>
      <c r="BJ163" s="1485">
        <f>IF('能力'!AG69=0,"",'能力'!AG69)</f>
      </c>
      <c r="BK163" s="1486"/>
      <c r="BL163" s="1486"/>
      <c r="BM163" s="1487"/>
      <c r="BN163" s="486"/>
      <c r="BO163" s="1485">
        <f>IF('能力'!AI69=0,"",'能力'!AI69)</f>
      </c>
      <c r="BP163" s="1486"/>
      <c r="BQ163" s="1486"/>
      <c r="BR163" s="1487"/>
      <c r="BS163" s="486"/>
      <c r="BT163" s="1485">
        <f>IF('能力'!AK69=0,"",'能力'!AK69)</f>
      </c>
      <c r="BU163" s="1486"/>
      <c r="BV163" s="1486"/>
      <c r="BW163" s="1487"/>
      <c r="BX163" s="485"/>
      <c r="BY163" s="1498">
        <f>IF('呪文1'!L6=0,"",'呪文1'!L6)</f>
      </c>
      <c r="BZ163" s="1499"/>
      <c r="CA163" s="1499"/>
      <c r="CB163" s="1499"/>
      <c r="CC163" s="1499"/>
      <c r="CD163" s="1499"/>
      <c r="CE163" s="1499"/>
      <c r="CF163" s="1499"/>
      <c r="CG163" s="1499"/>
      <c r="CH163" s="1499"/>
      <c r="CI163" s="1499"/>
      <c r="CJ163" s="1499"/>
      <c r="CK163" s="1499"/>
      <c r="CL163" s="1499"/>
      <c r="CM163" s="1499"/>
      <c r="CN163" s="1499"/>
      <c r="CO163" s="1499"/>
      <c r="CP163" s="1499"/>
      <c r="CQ163" s="1499"/>
      <c r="CR163" s="1499"/>
      <c r="CS163" s="1499"/>
      <c r="CT163" s="1499"/>
      <c r="CU163" s="1499"/>
      <c r="CV163" s="1499"/>
      <c r="CW163" s="1500"/>
      <c r="CX163" s="345"/>
    </row>
    <row r="164" spans="1:102" ht="10.5" customHeight="1" thickBot="1">
      <c r="A164" s="1512"/>
      <c r="B164" s="1513"/>
      <c r="C164" s="1513"/>
      <c r="D164" s="1513"/>
      <c r="E164" s="1513"/>
      <c r="F164" s="1513"/>
      <c r="G164" s="1513"/>
      <c r="H164" s="161"/>
      <c r="I164" s="1495"/>
      <c r="J164" s="1496"/>
      <c r="K164" s="1496"/>
      <c r="L164" s="1497"/>
      <c r="M164" s="495"/>
      <c r="N164" s="1639"/>
      <c r="O164" s="1640"/>
      <c r="P164" s="1640"/>
      <c r="Q164" s="1641"/>
      <c r="R164" s="1724"/>
      <c r="S164" s="1725"/>
      <c r="T164" s="1725"/>
      <c r="U164" s="1726"/>
      <c r="V164" s="496"/>
      <c r="W164" s="1523"/>
      <c r="X164" s="1523"/>
      <c r="Y164" s="1523"/>
      <c r="Z164" s="1540"/>
      <c r="AA164" s="1488"/>
      <c r="AB164" s="1489"/>
      <c r="AC164" s="1489"/>
      <c r="AD164" s="1490"/>
      <c r="AE164" s="497"/>
      <c r="AF164" s="1488"/>
      <c r="AG164" s="1489"/>
      <c r="AH164" s="1489"/>
      <c r="AI164" s="1490"/>
      <c r="AJ164" s="497"/>
      <c r="AK164" s="1488"/>
      <c r="AL164" s="1489"/>
      <c r="AM164" s="1489"/>
      <c r="AN164" s="1490"/>
      <c r="AO164" s="497"/>
      <c r="AP164" s="1488"/>
      <c r="AQ164" s="1489"/>
      <c r="AR164" s="1489"/>
      <c r="AS164" s="1490"/>
      <c r="AT164" s="497"/>
      <c r="AU164" s="1488"/>
      <c r="AV164" s="1489"/>
      <c r="AW164" s="1489"/>
      <c r="AX164" s="1490"/>
      <c r="AY164" s="497"/>
      <c r="AZ164" s="1488"/>
      <c r="BA164" s="1489"/>
      <c r="BB164" s="1489"/>
      <c r="BC164" s="1490"/>
      <c r="BD164" s="497"/>
      <c r="BE164" s="1488"/>
      <c r="BF164" s="1489"/>
      <c r="BG164" s="1489"/>
      <c r="BH164" s="1490"/>
      <c r="BI164" s="497"/>
      <c r="BJ164" s="1488"/>
      <c r="BK164" s="1489"/>
      <c r="BL164" s="1489"/>
      <c r="BM164" s="1490"/>
      <c r="BN164" s="497"/>
      <c r="BO164" s="1488"/>
      <c r="BP164" s="1489"/>
      <c r="BQ164" s="1489"/>
      <c r="BR164" s="1490"/>
      <c r="BS164" s="497"/>
      <c r="BT164" s="1488"/>
      <c r="BU164" s="1489"/>
      <c r="BV164" s="1489"/>
      <c r="BW164" s="1490"/>
      <c r="BX164" s="485"/>
      <c r="BY164" s="1501"/>
      <c r="BZ164" s="1502"/>
      <c r="CA164" s="1502"/>
      <c r="CB164" s="1502"/>
      <c r="CC164" s="1502"/>
      <c r="CD164" s="1502"/>
      <c r="CE164" s="1502"/>
      <c r="CF164" s="1502"/>
      <c r="CG164" s="1502"/>
      <c r="CH164" s="1502"/>
      <c r="CI164" s="1502"/>
      <c r="CJ164" s="1502"/>
      <c r="CK164" s="1502"/>
      <c r="CL164" s="1502"/>
      <c r="CM164" s="1502"/>
      <c r="CN164" s="1502"/>
      <c r="CO164" s="1502"/>
      <c r="CP164" s="1502"/>
      <c r="CQ164" s="1502"/>
      <c r="CR164" s="1502"/>
      <c r="CS164" s="1502"/>
      <c r="CT164" s="1502"/>
      <c r="CU164" s="1502"/>
      <c r="CV164" s="1502"/>
      <c r="CW164" s="1503"/>
      <c r="CX164" s="345"/>
    </row>
    <row r="165" spans="1:101" ht="10.5" customHeight="1">
      <c r="A165" s="227"/>
      <c r="B165" s="227"/>
      <c r="C165" s="227"/>
      <c r="D165" s="227"/>
      <c r="E165" s="227"/>
      <c r="F165" s="227"/>
      <c r="G165" s="227"/>
      <c r="H165" s="161"/>
      <c r="I165" s="485"/>
      <c r="J165" s="485"/>
      <c r="K165" s="485"/>
      <c r="L165" s="485"/>
      <c r="M165" s="485"/>
      <c r="N165" s="1631" t="s">
        <v>689</v>
      </c>
      <c r="O165" s="1631"/>
      <c r="P165" s="1631"/>
      <c r="Q165" s="1631"/>
      <c r="R165" s="1631" t="s">
        <v>690</v>
      </c>
      <c r="S165" s="1631"/>
      <c r="T165" s="1631"/>
      <c r="U165" s="1631"/>
      <c r="V165" s="498"/>
      <c r="W165" s="1634" t="s">
        <v>691</v>
      </c>
      <c r="X165" s="1634"/>
      <c r="Y165" s="1634"/>
      <c r="Z165" s="1635"/>
      <c r="AA165" s="1485">
        <f>IF('能力'!S70=0,"",'能力'!S70)</f>
      </c>
      <c r="AB165" s="1486"/>
      <c r="AC165" s="1486"/>
      <c r="AD165" s="1487"/>
      <c r="AE165" s="497"/>
      <c r="AF165" s="1485">
        <f>IF('能力'!U70=0,"",'能力'!U70)</f>
      </c>
      <c r="AG165" s="1486"/>
      <c r="AH165" s="1486"/>
      <c r="AI165" s="1487"/>
      <c r="AJ165" s="497"/>
      <c r="AK165" s="1485">
        <f>IF('能力'!W70=0,"",'能力'!W70)</f>
      </c>
      <c r="AL165" s="1486"/>
      <c r="AM165" s="1486"/>
      <c r="AN165" s="1487"/>
      <c r="AO165" s="497"/>
      <c r="AP165" s="1485">
        <f>IF('能力'!Y70=0,"",'能力'!Y70)</f>
      </c>
      <c r="AQ165" s="1486"/>
      <c r="AR165" s="1486"/>
      <c r="AS165" s="1487"/>
      <c r="AT165" s="497"/>
      <c r="AU165" s="1485">
        <f>IF('能力'!AA70=0,"",'能力'!AA70)</f>
      </c>
      <c r="AV165" s="1486"/>
      <c r="AW165" s="1486"/>
      <c r="AX165" s="1487"/>
      <c r="AY165" s="497"/>
      <c r="AZ165" s="1485">
        <f>IF('能力'!AC70=0,"",'能力'!AC70)</f>
      </c>
      <c r="BA165" s="1486"/>
      <c r="BB165" s="1486"/>
      <c r="BC165" s="1487"/>
      <c r="BD165" s="497"/>
      <c r="BE165" s="1485">
        <f>IF('能力'!AE70=0,"",'能力'!AE70)</f>
      </c>
      <c r="BF165" s="1486"/>
      <c r="BG165" s="1486"/>
      <c r="BH165" s="1487"/>
      <c r="BI165" s="497"/>
      <c r="BJ165" s="1485">
        <f>IF('能力'!AG70=0,"",'能力'!AG70)</f>
      </c>
      <c r="BK165" s="1486"/>
      <c r="BL165" s="1486"/>
      <c r="BM165" s="1487"/>
      <c r="BN165" s="497"/>
      <c r="BO165" s="1485">
        <f>IF('能力'!AI70=0,"",'能力'!AI70)</f>
      </c>
      <c r="BP165" s="1486"/>
      <c r="BQ165" s="1486"/>
      <c r="BR165" s="1487"/>
      <c r="BS165" s="497"/>
      <c r="BT165" s="1485">
        <f>IF('能力'!AK70=0,"",'能力'!AK70)</f>
      </c>
      <c r="BU165" s="1486"/>
      <c r="BV165" s="1486"/>
      <c r="BW165" s="1487"/>
      <c r="BX165" s="485"/>
      <c r="BY165" s="1498">
        <f>IF('呪文1'!L8=0,"",'呪文1'!L8)</f>
      </c>
      <c r="BZ165" s="1499"/>
      <c r="CA165" s="1499"/>
      <c r="CB165" s="1499"/>
      <c r="CC165" s="1499"/>
      <c r="CD165" s="1499"/>
      <c r="CE165" s="1499"/>
      <c r="CF165" s="1499"/>
      <c r="CG165" s="1499"/>
      <c r="CH165" s="1499"/>
      <c r="CI165" s="1499"/>
      <c r="CJ165" s="1499"/>
      <c r="CK165" s="1499"/>
      <c r="CL165" s="1499"/>
      <c r="CM165" s="1499"/>
      <c r="CN165" s="1499"/>
      <c r="CO165" s="1499"/>
      <c r="CP165" s="1499"/>
      <c r="CQ165" s="1499"/>
      <c r="CR165" s="1499"/>
      <c r="CS165" s="1499"/>
      <c r="CT165" s="1499"/>
      <c r="CU165" s="1499"/>
      <c r="CV165" s="1499"/>
      <c r="CW165" s="1500"/>
    </row>
    <row r="166" spans="1:101" ht="10.5" customHeight="1" thickBot="1">
      <c r="A166" s="227"/>
      <c r="B166" s="227"/>
      <c r="C166" s="227"/>
      <c r="D166" s="227"/>
      <c r="E166" s="227"/>
      <c r="F166" s="227"/>
      <c r="G166" s="227"/>
      <c r="H166" s="161"/>
      <c r="I166" s="485"/>
      <c r="J166" s="485"/>
      <c r="K166" s="485"/>
      <c r="L166" s="485"/>
      <c r="M166" s="485"/>
      <c r="N166" s="485"/>
      <c r="O166" s="485"/>
      <c r="P166" s="485"/>
      <c r="Q166" s="485"/>
      <c r="R166" s="485"/>
      <c r="S166" s="485"/>
      <c r="T166" s="485"/>
      <c r="U166" s="485"/>
      <c r="V166" s="498"/>
      <c r="W166" s="1634"/>
      <c r="X166" s="1634"/>
      <c r="Y166" s="1634"/>
      <c r="Z166" s="1635"/>
      <c r="AA166" s="1488"/>
      <c r="AB166" s="1489"/>
      <c r="AC166" s="1489"/>
      <c r="AD166" s="1490"/>
      <c r="AE166" s="499"/>
      <c r="AF166" s="1488"/>
      <c r="AG166" s="1489"/>
      <c r="AH166" s="1489"/>
      <c r="AI166" s="1490"/>
      <c r="AJ166" s="497"/>
      <c r="AK166" s="1488"/>
      <c r="AL166" s="1489"/>
      <c r="AM166" s="1489"/>
      <c r="AN166" s="1490"/>
      <c r="AO166" s="499"/>
      <c r="AP166" s="1488"/>
      <c r="AQ166" s="1489"/>
      <c r="AR166" s="1489"/>
      <c r="AS166" s="1490"/>
      <c r="AT166" s="499"/>
      <c r="AU166" s="1488"/>
      <c r="AV166" s="1489"/>
      <c r="AW166" s="1489"/>
      <c r="AX166" s="1490"/>
      <c r="AY166" s="497"/>
      <c r="AZ166" s="1488"/>
      <c r="BA166" s="1489"/>
      <c r="BB166" s="1489"/>
      <c r="BC166" s="1490"/>
      <c r="BD166" s="486"/>
      <c r="BE166" s="1488"/>
      <c r="BF166" s="1489"/>
      <c r="BG166" s="1489"/>
      <c r="BH166" s="1490"/>
      <c r="BI166" s="486"/>
      <c r="BJ166" s="1488"/>
      <c r="BK166" s="1489"/>
      <c r="BL166" s="1489"/>
      <c r="BM166" s="1490"/>
      <c r="BN166" s="486"/>
      <c r="BO166" s="1488"/>
      <c r="BP166" s="1489"/>
      <c r="BQ166" s="1489"/>
      <c r="BR166" s="1490"/>
      <c r="BS166" s="486"/>
      <c r="BT166" s="1488"/>
      <c r="BU166" s="1489"/>
      <c r="BV166" s="1489"/>
      <c r="BW166" s="1490"/>
      <c r="BX166" s="485"/>
      <c r="BY166" s="1501"/>
      <c r="BZ166" s="1502"/>
      <c r="CA166" s="1502"/>
      <c r="CB166" s="1502"/>
      <c r="CC166" s="1502"/>
      <c r="CD166" s="1502"/>
      <c r="CE166" s="1502"/>
      <c r="CF166" s="1502"/>
      <c r="CG166" s="1502"/>
      <c r="CH166" s="1502"/>
      <c r="CI166" s="1502"/>
      <c r="CJ166" s="1502"/>
      <c r="CK166" s="1502"/>
      <c r="CL166" s="1502"/>
      <c r="CM166" s="1502"/>
      <c r="CN166" s="1502"/>
      <c r="CO166" s="1502"/>
      <c r="CP166" s="1502"/>
      <c r="CQ166" s="1502"/>
      <c r="CR166" s="1502"/>
      <c r="CS166" s="1502"/>
      <c r="CT166" s="1502"/>
      <c r="CU166" s="1502"/>
      <c r="CV166" s="1502"/>
      <c r="CW166" s="1503"/>
    </row>
    <row r="167" spans="1:101" ht="10.5" customHeight="1" hidden="1" thickBot="1">
      <c r="A167" s="228"/>
      <c r="B167" s="228"/>
      <c r="C167" s="228"/>
      <c r="D167" s="228"/>
      <c r="E167" s="228"/>
      <c r="F167" s="228"/>
      <c r="G167" s="228"/>
      <c r="H167" s="229"/>
      <c r="I167" s="500"/>
      <c r="J167" s="500"/>
      <c r="K167" s="500"/>
      <c r="L167" s="500"/>
      <c r="M167" s="500"/>
      <c r="N167" s="500"/>
      <c r="O167" s="500"/>
      <c r="P167" s="500"/>
      <c r="Q167" s="500"/>
      <c r="R167" s="500"/>
      <c r="S167" s="500"/>
      <c r="T167" s="500"/>
      <c r="U167" s="500"/>
      <c r="V167" s="485"/>
      <c r="W167" s="488"/>
      <c r="X167" s="488"/>
      <c r="Y167" s="488"/>
      <c r="Z167" s="488"/>
      <c r="AA167" s="497"/>
      <c r="AB167" s="497"/>
      <c r="AC167" s="497"/>
      <c r="AD167" s="497"/>
      <c r="AE167" s="497"/>
      <c r="AF167" s="497"/>
      <c r="AG167" s="497"/>
      <c r="AH167" s="497"/>
      <c r="AI167" s="497"/>
      <c r="AJ167" s="497"/>
      <c r="AK167" s="497"/>
      <c r="AL167" s="497"/>
      <c r="AM167" s="497"/>
      <c r="AN167" s="497"/>
      <c r="AO167" s="497"/>
      <c r="AP167" s="497"/>
      <c r="AQ167" s="497"/>
      <c r="AR167" s="497"/>
      <c r="AS167" s="497"/>
      <c r="AT167" s="497"/>
      <c r="AU167" s="497"/>
      <c r="AV167" s="497"/>
      <c r="AW167" s="497"/>
      <c r="AX167" s="497"/>
      <c r="AY167" s="497"/>
      <c r="AZ167" s="497"/>
      <c r="BA167" s="497"/>
      <c r="BB167" s="497"/>
      <c r="BC167" s="497"/>
      <c r="BD167" s="497"/>
      <c r="BE167" s="497"/>
      <c r="BF167" s="497"/>
      <c r="BG167" s="497"/>
      <c r="BH167" s="497"/>
      <c r="BI167" s="497"/>
      <c r="BJ167" s="497"/>
      <c r="BK167" s="497"/>
      <c r="BL167" s="497"/>
      <c r="BM167" s="497"/>
      <c r="BN167" s="497"/>
      <c r="BO167" s="497"/>
      <c r="BP167" s="497"/>
      <c r="BQ167" s="497"/>
      <c r="BR167" s="497"/>
      <c r="BS167" s="497"/>
      <c r="BT167" s="497"/>
      <c r="BU167" s="497"/>
      <c r="BV167" s="497"/>
      <c r="BW167" s="497"/>
      <c r="BX167" s="485"/>
      <c r="BY167" s="501"/>
      <c r="BZ167" s="501"/>
      <c r="CA167" s="501"/>
      <c r="CB167" s="501"/>
      <c r="CC167" s="501"/>
      <c r="CD167" s="501"/>
      <c r="CE167" s="501"/>
      <c r="CF167" s="501"/>
      <c r="CG167" s="501"/>
      <c r="CH167" s="501"/>
      <c r="CI167" s="501"/>
      <c r="CJ167" s="501"/>
      <c r="CK167" s="501"/>
      <c r="CL167" s="501"/>
      <c r="CM167" s="501"/>
      <c r="CN167" s="501"/>
      <c r="CO167" s="501"/>
      <c r="CP167" s="501"/>
      <c r="CQ167" s="501"/>
      <c r="CR167" s="501"/>
      <c r="CS167" s="501"/>
      <c r="CT167" s="501"/>
      <c r="CU167" s="501"/>
      <c r="CV167" s="501"/>
      <c r="CW167" s="501"/>
    </row>
    <row r="168" spans="1:101" ht="10.5" customHeight="1">
      <c r="A168" s="1512" t="s">
        <v>875</v>
      </c>
      <c r="B168" s="1513"/>
      <c r="C168" s="1513"/>
      <c r="D168" s="1513"/>
      <c r="E168" s="1513"/>
      <c r="F168" s="1513"/>
      <c r="G168" s="1513"/>
      <c r="H168" s="222"/>
      <c r="I168" s="1506">
        <f>IF('能力'!C72=0,"",'能力'!C72)</f>
      </c>
      <c r="J168" s="1507"/>
      <c r="K168" s="1507"/>
      <c r="L168" s="1507"/>
      <c r="M168" s="1507"/>
      <c r="N168" s="1507"/>
      <c r="O168" s="1507"/>
      <c r="P168" s="1507"/>
      <c r="Q168" s="1507"/>
      <c r="R168" s="1507"/>
      <c r="S168" s="1507"/>
      <c r="T168" s="1508"/>
      <c r="U168" s="484"/>
      <c r="V168" s="485"/>
      <c r="W168" s="1523" t="s">
        <v>692</v>
      </c>
      <c r="X168" s="1523"/>
      <c r="Y168" s="1523"/>
      <c r="Z168" s="1523"/>
      <c r="AA168" s="1524">
        <v>0</v>
      </c>
      <c r="AB168" s="1524"/>
      <c r="AC168" s="1524"/>
      <c r="AD168" s="1524"/>
      <c r="AE168" s="486"/>
      <c r="AF168" s="1524">
        <v>1</v>
      </c>
      <c r="AG168" s="1524"/>
      <c r="AH168" s="1524"/>
      <c r="AI168" s="1524"/>
      <c r="AJ168" s="486"/>
      <c r="AK168" s="1524">
        <v>2</v>
      </c>
      <c r="AL168" s="1524"/>
      <c r="AM168" s="1524"/>
      <c r="AN168" s="1524"/>
      <c r="AO168" s="487"/>
      <c r="AP168" s="1524">
        <v>3</v>
      </c>
      <c r="AQ168" s="1524"/>
      <c r="AR168" s="1524"/>
      <c r="AS168" s="1524"/>
      <c r="AT168" s="487"/>
      <c r="AU168" s="1524">
        <v>4</v>
      </c>
      <c r="AV168" s="1524"/>
      <c r="AW168" s="1524"/>
      <c r="AX168" s="1524"/>
      <c r="AY168" s="486"/>
      <c r="AZ168" s="1524">
        <v>5</v>
      </c>
      <c r="BA168" s="1524"/>
      <c r="BB168" s="1524"/>
      <c r="BC168" s="1524"/>
      <c r="BD168" s="486"/>
      <c r="BE168" s="1524">
        <v>6</v>
      </c>
      <c r="BF168" s="1524"/>
      <c r="BG168" s="1524"/>
      <c r="BH168" s="1524"/>
      <c r="BI168" s="486"/>
      <c r="BJ168" s="1524">
        <v>7</v>
      </c>
      <c r="BK168" s="1524"/>
      <c r="BL168" s="1524"/>
      <c r="BM168" s="1524"/>
      <c r="BN168" s="486"/>
      <c r="BO168" s="1524">
        <v>8</v>
      </c>
      <c r="BP168" s="1524"/>
      <c r="BQ168" s="1524"/>
      <c r="BR168" s="1524"/>
      <c r="BS168" s="486"/>
      <c r="BT168" s="1524">
        <v>9</v>
      </c>
      <c r="BU168" s="1524"/>
      <c r="BV168" s="1524"/>
      <c r="BW168" s="1524"/>
      <c r="BX168" s="485"/>
      <c r="BY168" s="488" t="s">
        <v>693</v>
      </c>
      <c r="BZ168" s="489"/>
      <c r="CA168" s="489"/>
      <c r="CB168" s="489"/>
      <c r="CC168" s="489"/>
      <c r="CD168" s="489"/>
      <c r="CE168" s="489"/>
      <c r="CF168" s="489"/>
      <c r="CG168" s="441"/>
      <c r="CH168" s="441"/>
      <c r="CI168" s="441"/>
      <c r="CJ168" s="441"/>
      <c r="CK168" s="441"/>
      <c r="CL168" s="441"/>
      <c r="CM168" s="441"/>
      <c r="CN168" s="441"/>
      <c r="CO168" s="490" t="s">
        <v>694</v>
      </c>
      <c r="CP168" s="441"/>
      <c r="CQ168" s="441"/>
      <c r="CR168" s="441"/>
      <c r="CS168" s="441"/>
      <c r="CT168" s="441"/>
      <c r="CU168" s="491"/>
      <c r="CV168" s="485"/>
      <c r="CW168" s="485"/>
    </row>
    <row r="169" spans="1:101" ht="10.5" customHeight="1" thickBot="1">
      <c r="A169" s="1512"/>
      <c r="B169" s="1513"/>
      <c r="C169" s="1513"/>
      <c r="D169" s="1513"/>
      <c r="E169" s="1513"/>
      <c r="F169" s="1513"/>
      <c r="G169" s="1513"/>
      <c r="H169" s="222"/>
      <c r="I169" s="1509"/>
      <c r="J169" s="1510"/>
      <c r="K169" s="1510"/>
      <c r="L169" s="1510"/>
      <c r="M169" s="1510"/>
      <c r="N169" s="1510"/>
      <c r="O169" s="1510"/>
      <c r="P169" s="1510"/>
      <c r="Q169" s="1510"/>
      <c r="R169" s="1510"/>
      <c r="S169" s="1510"/>
      <c r="T169" s="1511"/>
      <c r="U169" s="484"/>
      <c r="V169" s="485"/>
      <c r="W169" s="1523"/>
      <c r="X169" s="1523"/>
      <c r="Y169" s="1523"/>
      <c r="Z169" s="1523"/>
      <c r="AA169" s="1524"/>
      <c r="AB169" s="1524"/>
      <c r="AC169" s="1524"/>
      <c r="AD169" s="1524"/>
      <c r="AE169" s="486"/>
      <c r="AF169" s="1524"/>
      <c r="AG169" s="1524"/>
      <c r="AH169" s="1524"/>
      <c r="AI169" s="1524"/>
      <c r="AJ169" s="486"/>
      <c r="AK169" s="1524"/>
      <c r="AL169" s="1524"/>
      <c r="AM169" s="1524"/>
      <c r="AN169" s="1524"/>
      <c r="AO169" s="487"/>
      <c r="AP169" s="1524"/>
      <c r="AQ169" s="1524"/>
      <c r="AR169" s="1524"/>
      <c r="AS169" s="1524"/>
      <c r="AT169" s="487"/>
      <c r="AU169" s="1524"/>
      <c r="AV169" s="1524"/>
      <c r="AW169" s="1524"/>
      <c r="AX169" s="1524"/>
      <c r="AY169" s="486"/>
      <c r="AZ169" s="1524"/>
      <c r="BA169" s="1524"/>
      <c r="BB169" s="1524"/>
      <c r="BC169" s="1524"/>
      <c r="BD169" s="486"/>
      <c r="BE169" s="1524"/>
      <c r="BF169" s="1524"/>
      <c r="BG169" s="1524"/>
      <c r="BH169" s="1524"/>
      <c r="BI169" s="486"/>
      <c r="BJ169" s="1524"/>
      <c r="BK169" s="1524"/>
      <c r="BL169" s="1524"/>
      <c r="BM169" s="1524"/>
      <c r="BN169" s="486"/>
      <c r="BO169" s="1524"/>
      <c r="BP169" s="1524"/>
      <c r="BQ169" s="1524"/>
      <c r="BR169" s="1524"/>
      <c r="BS169" s="486"/>
      <c r="BT169" s="1524"/>
      <c r="BU169" s="1524"/>
      <c r="BV169" s="1524"/>
      <c r="BW169" s="1524"/>
      <c r="BX169" s="485"/>
      <c r="BY169" s="1607">
        <f>IF('呪文2'!L2=0,"",'呪文2'!L2)</f>
      </c>
      <c r="BZ169" s="1608"/>
      <c r="CA169" s="1608"/>
      <c r="CB169" s="1608"/>
      <c r="CC169" s="1608"/>
      <c r="CD169" s="1608"/>
      <c r="CE169" s="1608"/>
      <c r="CF169" s="1608"/>
      <c r="CG169" s="1608"/>
      <c r="CH169" s="1608"/>
      <c r="CI169" s="1608"/>
      <c r="CJ169" s="1608"/>
      <c r="CK169" s="1608"/>
      <c r="CL169" s="1608"/>
      <c r="CM169" s="1609"/>
      <c r="CN169" s="441"/>
      <c r="CO169" s="1607">
        <f>IF('呪文2'!L4=0,"",'呪文2'!L4)</f>
      </c>
      <c r="CP169" s="1608"/>
      <c r="CQ169" s="1608"/>
      <c r="CR169" s="1608"/>
      <c r="CS169" s="1608"/>
      <c r="CT169" s="1608"/>
      <c r="CU169" s="1608"/>
      <c r="CV169" s="1608"/>
      <c r="CW169" s="1609"/>
    </row>
    <row r="170" spans="1:101" ht="10.5" customHeight="1" thickBot="1">
      <c r="A170" s="1512" t="s">
        <v>876</v>
      </c>
      <c r="B170" s="1513"/>
      <c r="C170" s="1513"/>
      <c r="D170" s="1513"/>
      <c r="E170" s="1513"/>
      <c r="F170" s="1513"/>
      <c r="G170" s="1513"/>
      <c r="H170" s="222"/>
      <c r="I170" s="1533">
        <f>IF('能力'!L72=0,"",'能力'!L72)</f>
      </c>
      <c r="J170" s="1534"/>
      <c r="K170" s="1534"/>
      <c r="L170" s="1535"/>
      <c r="M170" s="484"/>
      <c r="N170" s="484"/>
      <c r="O170" s="484"/>
      <c r="P170" s="484"/>
      <c r="Q170" s="484"/>
      <c r="R170" s="484"/>
      <c r="S170" s="484"/>
      <c r="T170" s="484"/>
      <c r="U170" s="484"/>
      <c r="V170" s="485"/>
      <c r="W170" s="1523" t="s">
        <v>695</v>
      </c>
      <c r="X170" s="1523"/>
      <c r="Y170" s="1523"/>
      <c r="Z170" s="1540"/>
      <c r="AA170" s="1517" t="e">
        <f>$R$172+AA168+10</f>
        <v>#VALUE!</v>
      </c>
      <c r="AB170" s="1518"/>
      <c r="AC170" s="1518"/>
      <c r="AD170" s="1519"/>
      <c r="AE170" s="492"/>
      <c r="AF170" s="1517" t="e">
        <f>$R$172+AF168+10</f>
        <v>#VALUE!</v>
      </c>
      <c r="AG170" s="1518"/>
      <c r="AH170" s="1518"/>
      <c r="AI170" s="1519"/>
      <c r="AJ170" s="493"/>
      <c r="AK170" s="1517" t="e">
        <f>$R$172+AK168+10</f>
        <v>#VALUE!</v>
      </c>
      <c r="AL170" s="1518"/>
      <c r="AM170" s="1518"/>
      <c r="AN170" s="1519"/>
      <c r="AO170" s="492"/>
      <c r="AP170" s="1517" t="e">
        <f>$R$172+AP168+10</f>
        <v>#VALUE!</v>
      </c>
      <c r="AQ170" s="1518"/>
      <c r="AR170" s="1518"/>
      <c r="AS170" s="1519"/>
      <c r="AT170" s="492"/>
      <c r="AU170" s="1517" t="e">
        <f>$R$172+AU168+10</f>
        <v>#VALUE!</v>
      </c>
      <c r="AV170" s="1518"/>
      <c r="AW170" s="1518"/>
      <c r="AX170" s="1519"/>
      <c r="AY170" s="493"/>
      <c r="AZ170" s="1517" t="e">
        <f>$R$172+AZ168+10</f>
        <v>#VALUE!</v>
      </c>
      <c r="BA170" s="1518"/>
      <c r="BB170" s="1518"/>
      <c r="BC170" s="1519"/>
      <c r="BD170" s="493"/>
      <c r="BE170" s="1517" t="e">
        <f>$R$172+BE168+10</f>
        <v>#VALUE!</v>
      </c>
      <c r="BF170" s="1518"/>
      <c r="BG170" s="1518"/>
      <c r="BH170" s="1519"/>
      <c r="BI170" s="493"/>
      <c r="BJ170" s="1517" t="e">
        <f>$R$172+BJ168+10</f>
        <v>#VALUE!</v>
      </c>
      <c r="BK170" s="1518"/>
      <c r="BL170" s="1518"/>
      <c r="BM170" s="1519"/>
      <c r="BN170" s="493"/>
      <c r="BO170" s="1517" t="e">
        <f>$R$172+BO168+10</f>
        <v>#VALUE!</v>
      </c>
      <c r="BP170" s="1518"/>
      <c r="BQ170" s="1518"/>
      <c r="BR170" s="1519"/>
      <c r="BS170" s="486"/>
      <c r="BT170" s="1517" t="e">
        <f>$R$172+BT168+10</f>
        <v>#VALUE!</v>
      </c>
      <c r="BU170" s="1518"/>
      <c r="BV170" s="1518"/>
      <c r="BW170" s="1519"/>
      <c r="BX170" s="485"/>
      <c r="BY170" s="1610"/>
      <c r="BZ170" s="1611"/>
      <c r="CA170" s="1611"/>
      <c r="CB170" s="1611"/>
      <c r="CC170" s="1611"/>
      <c r="CD170" s="1611"/>
      <c r="CE170" s="1611"/>
      <c r="CF170" s="1611"/>
      <c r="CG170" s="1611"/>
      <c r="CH170" s="1611"/>
      <c r="CI170" s="1611"/>
      <c r="CJ170" s="1611"/>
      <c r="CK170" s="1611"/>
      <c r="CL170" s="1611"/>
      <c r="CM170" s="1612"/>
      <c r="CN170" s="441"/>
      <c r="CO170" s="1610"/>
      <c r="CP170" s="1611"/>
      <c r="CQ170" s="1611"/>
      <c r="CR170" s="1611"/>
      <c r="CS170" s="1611"/>
      <c r="CT170" s="1611"/>
      <c r="CU170" s="1611"/>
      <c r="CV170" s="1611"/>
      <c r="CW170" s="1612"/>
    </row>
    <row r="171" spans="1:101" ht="10.5" customHeight="1" thickBot="1">
      <c r="A171" s="1512"/>
      <c r="B171" s="1513"/>
      <c r="C171" s="1513"/>
      <c r="D171" s="1513"/>
      <c r="E171" s="1513"/>
      <c r="F171" s="1513"/>
      <c r="G171" s="1513"/>
      <c r="H171" s="171"/>
      <c r="I171" s="1533"/>
      <c r="J171" s="1534"/>
      <c r="K171" s="1534"/>
      <c r="L171" s="1535"/>
      <c r="M171" s="484"/>
      <c r="N171" s="484"/>
      <c r="O171" s="484"/>
      <c r="P171" s="484"/>
      <c r="Q171" s="484"/>
      <c r="R171" s="484"/>
      <c r="S171" s="484"/>
      <c r="T171" s="484"/>
      <c r="U171" s="484"/>
      <c r="V171" s="485"/>
      <c r="W171" s="1523"/>
      <c r="X171" s="1523"/>
      <c r="Y171" s="1523"/>
      <c r="Z171" s="1540"/>
      <c r="AA171" s="1520"/>
      <c r="AB171" s="1521"/>
      <c r="AC171" s="1521"/>
      <c r="AD171" s="1522"/>
      <c r="AE171" s="493"/>
      <c r="AF171" s="1520"/>
      <c r="AG171" s="1521"/>
      <c r="AH171" s="1521"/>
      <c r="AI171" s="1522"/>
      <c r="AJ171" s="493"/>
      <c r="AK171" s="1520"/>
      <c r="AL171" s="1521"/>
      <c r="AM171" s="1521"/>
      <c r="AN171" s="1522"/>
      <c r="AO171" s="492"/>
      <c r="AP171" s="1520"/>
      <c r="AQ171" s="1521"/>
      <c r="AR171" s="1521"/>
      <c r="AS171" s="1522"/>
      <c r="AT171" s="492"/>
      <c r="AU171" s="1520"/>
      <c r="AV171" s="1521"/>
      <c r="AW171" s="1521"/>
      <c r="AX171" s="1522"/>
      <c r="AY171" s="493"/>
      <c r="AZ171" s="1520"/>
      <c r="BA171" s="1521"/>
      <c r="BB171" s="1521"/>
      <c r="BC171" s="1522"/>
      <c r="BD171" s="493"/>
      <c r="BE171" s="1520"/>
      <c r="BF171" s="1521"/>
      <c r="BG171" s="1521"/>
      <c r="BH171" s="1522"/>
      <c r="BI171" s="493"/>
      <c r="BJ171" s="1520"/>
      <c r="BK171" s="1521"/>
      <c r="BL171" s="1521"/>
      <c r="BM171" s="1522"/>
      <c r="BN171" s="493"/>
      <c r="BO171" s="1520"/>
      <c r="BP171" s="1521"/>
      <c r="BQ171" s="1521"/>
      <c r="BR171" s="1522"/>
      <c r="BS171" s="486"/>
      <c r="BT171" s="1520"/>
      <c r="BU171" s="1521"/>
      <c r="BV171" s="1521"/>
      <c r="BW171" s="1522"/>
      <c r="BX171" s="485"/>
      <c r="BY171" s="494" t="s">
        <v>687</v>
      </c>
      <c r="BZ171" s="441"/>
      <c r="CA171" s="441"/>
      <c r="CB171" s="441">
        <f>IF(INDEX('装備'!$I$59:$I$121,' 印刷'!CX181)=0,"",INDEX('装備'!$I$59:$I$121,' 印刷'!CX181))</f>
      </c>
      <c r="CC171" s="441"/>
      <c r="CD171" s="441"/>
      <c r="CE171" s="441"/>
      <c r="CF171" s="441"/>
      <c r="CG171" s="441"/>
      <c r="CH171" s="441"/>
      <c r="CI171" s="441"/>
      <c r="CJ171" s="441"/>
      <c r="CK171" s="441"/>
      <c r="CL171" s="441"/>
      <c r="CM171" s="441"/>
      <c r="CN171" s="441"/>
      <c r="CO171" s="441"/>
      <c r="CP171" s="441"/>
      <c r="CQ171" s="441"/>
      <c r="CR171" s="441"/>
      <c r="CS171" s="441"/>
      <c r="CT171" s="441"/>
      <c r="CU171" s="441"/>
      <c r="CV171" s="441"/>
      <c r="CW171" s="441"/>
    </row>
    <row r="172" spans="1:101" ht="10.5" customHeight="1" thickBot="1">
      <c r="A172" s="1512" t="s">
        <v>877</v>
      </c>
      <c r="B172" s="1513"/>
      <c r="C172" s="1513"/>
      <c r="D172" s="1513"/>
      <c r="E172" s="1513"/>
      <c r="F172" s="1513"/>
      <c r="G172" s="1513"/>
      <c r="H172" s="161"/>
      <c r="I172" s="1495">
        <f>IF('能力'!J73=7,"",INDEX('能力'!$BU$21:$BU$27,'能力'!J73))</f>
      </c>
      <c r="J172" s="1496"/>
      <c r="K172" s="1496"/>
      <c r="L172" s="1497"/>
      <c r="M172" s="495"/>
      <c r="N172" s="1636">
        <f>IF('能力'!J73=7,"",INDEX('能力'!$I$18:$I$23,'能力'!J73))</f>
      </c>
      <c r="O172" s="1637"/>
      <c r="P172" s="1637"/>
      <c r="Q172" s="1638"/>
      <c r="R172" s="1721">
        <f>IF('能力'!J73=7,"",INDEX('能力'!$L$18:$L$23,'能力'!J73))</f>
      </c>
      <c r="S172" s="1722"/>
      <c r="T172" s="1722"/>
      <c r="U172" s="1723"/>
      <c r="V172" s="485"/>
      <c r="W172" s="1523" t="s">
        <v>696</v>
      </c>
      <c r="X172" s="1523"/>
      <c r="Y172" s="1523"/>
      <c r="Z172" s="1540"/>
      <c r="AA172" s="1485">
        <f>IF('能力'!S73=0,"",'能力'!S73)</f>
      </c>
      <c r="AB172" s="1486"/>
      <c r="AC172" s="1486"/>
      <c r="AD172" s="1487"/>
      <c r="AE172" s="486"/>
      <c r="AF172" s="1485">
        <f>IF('能力'!U73=0,"",'能力'!U73)</f>
      </c>
      <c r="AG172" s="1486"/>
      <c r="AH172" s="1486"/>
      <c r="AI172" s="1487"/>
      <c r="AJ172" s="486"/>
      <c r="AK172" s="1485">
        <f>IF('能力'!W73=0,"",'能力'!W73)</f>
      </c>
      <c r="AL172" s="1486"/>
      <c r="AM172" s="1486"/>
      <c r="AN172" s="1487"/>
      <c r="AO172" s="486"/>
      <c r="AP172" s="1485">
        <f>IF('能力'!Y73=0,"",'能力'!Y73)</f>
      </c>
      <c r="AQ172" s="1486"/>
      <c r="AR172" s="1486"/>
      <c r="AS172" s="1487"/>
      <c r="AT172" s="486"/>
      <c r="AU172" s="1485">
        <f>IF('能力'!AA73=0,"",'能力'!AA73)</f>
      </c>
      <c r="AV172" s="1486"/>
      <c r="AW172" s="1486"/>
      <c r="AX172" s="1487"/>
      <c r="AY172" s="486"/>
      <c r="AZ172" s="1485">
        <f>IF('能力'!AC73=0,"",'能力'!AC73)</f>
      </c>
      <c r="BA172" s="1486"/>
      <c r="BB172" s="1486"/>
      <c r="BC172" s="1487"/>
      <c r="BD172" s="486"/>
      <c r="BE172" s="1485">
        <f>IF('能力'!AE73=0,"",'能力'!AE73)</f>
      </c>
      <c r="BF172" s="1486"/>
      <c r="BG172" s="1486"/>
      <c r="BH172" s="1487"/>
      <c r="BI172" s="486"/>
      <c r="BJ172" s="1485">
        <f>IF('能力'!AG73=0,"",'能力'!AG73)</f>
      </c>
      <c r="BK172" s="1486"/>
      <c r="BL172" s="1486"/>
      <c r="BM172" s="1487"/>
      <c r="BN172" s="486"/>
      <c r="BO172" s="1485">
        <f>IF('能力'!AI73=0,"",'能力'!AI73)</f>
      </c>
      <c r="BP172" s="1486"/>
      <c r="BQ172" s="1486"/>
      <c r="BR172" s="1487"/>
      <c r="BS172" s="486"/>
      <c r="BT172" s="1485">
        <f>IF('能力'!AK73=0,"",'能力'!AK73)</f>
      </c>
      <c r="BU172" s="1486"/>
      <c r="BV172" s="1486"/>
      <c r="BW172" s="1487"/>
      <c r="BX172" s="485"/>
      <c r="BY172" s="1498">
        <f>IF('呪文2'!L6=0,"",'呪文2'!L6)</f>
      </c>
      <c r="BZ172" s="1499"/>
      <c r="CA172" s="1499"/>
      <c r="CB172" s="1499"/>
      <c r="CC172" s="1499"/>
      <c r="CD172" s="1499"/>
      <c r="CE172" s="1499"/>
      <c r="CF172" s="1499"/>
      <c r="CG172" s="1499"/>
      <c r="CH172" s="1499"/>
      <c r="CI172" s="1499"/>
      <c r="CJ172" s="1499"/>
      <c r="CK172" s="1499"/>
      <c r="CL172" s="1499"/>
      <c r="CM172" s="1499"/>
      <c r="CN172" s="1499"/>
      <c r="CO172" s="1499"/>
      <c r="CP172" s="1499"/>
      <c r="CQ172" s="1499"/>
      <c r="CR172" s="1499"/>
      <c r="CS172" s="1499"/>
      <c r="CT172" s="1499"/>
      <c r="CU172" s="1499"/>
      <c r="CV172" s="1499"/>
      <c r="CW172" s="1500"/>
    </row>
    <row r="173" spans="1:101" ht="10.5" customHeight="1" thickBot="1">
      <c r="A173" s="1512"/>
      <c r="B173" s="1513"/>
      <c r="C173" s="1513"/>
      <c r="D173" s="1513"/>
      <c r="E173" s="1513"/>
      <c r="F173" s="1513"/>
      <c r="G173" s="1513"/>
      <c r="H173" s="161"/>
      <c r="I173" s="1495"/>
      <c r="J173" s="1496"/>
      <c r="K173" s="1496"/>
      <c r="L173" s="1497"/>
      <c r="M173" s="495"/>
      <c r="N173" s="1639"/>
      <c r="O173" s="1640"/>
      <c r="P173" s="1640"/>
      <c r="Q173" s="1641"/>
      <c r="R173" s="1724"/>
      <c r="S173" s="1725"/>
      <c r="T173" s="1725"/>
      <c r="U173" s="1726"/>
      <c r="V173" s="496"/>
      <c r="W173" s="1523"/>
      <c r="X173" s="1523"/>
      <c r="Y173" s="1523"/>
      <c r="Z173" s="1540"/>
      <c r="AA173" s="1488"/>
      <c r="AB173" s="1489"/>
      <c r="AC173" s="1489"/>
      <c r="AD173" s="1490"/>
      <c r="AE173" s="497"/>
      <c r="AF173" s="1488"/>
      <c r="AG173" s="1489"/>
      <c r="AH173" s="1489"/>
      <c r="AI173" s="1490"/>
      <c r="AJ173" s="497"/>
      <c r="AK173" s="1488"/>
      <c r="AL173" s="1489"/>
      <c r="AM173" s="1489"/>
      <c r="AN173" s="1490"/>
      <c r="AO173" s="497"/>
      <c r="AP173" s="1488"/>
      <c r="AQ173" s="1489"/>
      <c r="AR173" s="1489"/>
      <c r="AS173" s="1490"/>
      <c r="AT173" s="497"/>
      <c r="AU173" s="1488"/>
      <c r="AV173" s="1489"/>
      <c r="AW173" s="1489"/>
      <c r="AX173" s="1490"/>
      <c r="AY173" s="497"/>
      <c r="AZ173" s="1488"/>
      <c r="BA173" s="1489"/>
      <c r="BB173" s="1489"/>
      <c r="BC173" s="1490"/>
      <c r="BD173" s="497"/>
      <c r="BE173" s="1488"/>
      <c r="BF173" s="1489"/>
      <c r="BG173" s="1489"/>
      <c r="BH173" s="1490"/>
      <c r="BI173" s="497"/>
      <c r="BJ173" s="1488"/>
      <c r="BK173" s="1489"/>
      <c r="BL173" s="1489"/>
      <c r="BM173" s="1490"/>
      <c r="BN173" s="497"/>
      <c r="BO173" s="1488"/>
      <c r="BP173" s="1489"/>
      <c r="BQ173" s="1489"/>
      <c r="BR173" s="1490"/>
      <c r="BS173" s="497"/>
      <c r="BT173" s="1488"/>
      <c r="BU173" s="1489"/>
      <c r="BV173" s="1489"/>
      <c r="BW173" s="1490"/>
      <c r="BX173" s="485"/>
      <c r="BY173" s="1501"/>
      <c r="BZ173" s="1502"/>
      <c r="CA173" s="1502"/>
      <c r="CB173" s="1502"/>
      <c r="CC173" s="1502"/>
      <c r="CD173" s="1502"/>
      <c r="CE173" s="1502"/>
      <c r="CF173" s="1502"/>
      <c r="CG173" s="1502"/>
      <c r="CH173" s="1502"/>
      <c r="CI173" s="1502"/>
      <c r="CJ173" s="1502"/>
      <c r="CK173" s="1502"/>
      <c r="CL173" s="1502"/>
      <c r="CM173" s="1502"/>
      <c r="CN173" s="1502"/>
      <c r="CO173" s="1502"/>
      <c r="CP173" s="1502"/>
      <c r="CQ173" s="1502"/>
      <c r="CR173" s="1502"/>
      <c r="CS173" s="1502"/>
      <c r="CT173" s="1502"/>
      <c r="CU173" s="1502"/>
      <c r="CV173" s="1502"/>
      <c r="CW173" s="1503"/>
    </row>
    <row r="174" spans="1:101" ht="10.5" customHeight="1">
      <c r="A174" s="227"/>
      <c r="B174" s="227"/>
      <c r="C174" s="227"/>
      <c r="D174" s="227"/>
      <c r="E174" s="227"/>
      <c r="F174" s="227"/>
      <c r="G174" s="227"/>
      <c r="H174" s="161"/>
      <c r="I174" s="485"/>
      <c r="J174" s="485"/>
      <c r="K174" s="485"/>
      <c r="L174" s="485"/>
      <c r="M174" s="485"/>
      <c r="N174" s="1631" t="s">
        <v>689</v>
      </c>
      <c r="O174" s="1631"/>
      <c r="P174" s="1631"/>
      <c r="Q174" s="1631"/>
      <c r="R174" s="1631" t="s">
        <v>690</v>
      </c>
      <c r="S174" s="1631"/>
      <c r="T174" s="1631"/>
      <c r="U174" s="1631"/>
      <c r="V174" s="498"/>
      <c r="W174" s="1634" t="s">
        <v>691</v>
      </c>
      <c r="X174" s="1634"/>
      <c r="Y174" s="1634"/>
      <c r="Z174" s="1635"/>
      <c r="AA174" s="1485">
        <f>IF('能力'!S74=0,"",'能力'!S74)</f>
      </c>
      <c r="AB174" s="1486"/>
      <c r="AC174" s="1486"/>
      <c r="AD174" s="1487"/>
      <c r="AE174" s="497"/>
      <c r="AF174" s="1485">
        <f>IF('能力'!U74=0,"",'能力'!U74)</f>
      </c>
      <c r="AG174" s="1486"/>
      <c r="AH174" s="1486"/>
      <c r="AI174" s="1487"/>
      <c r="AJ174" s="497"/>
      <c r="AK174" s="1485">
        <f>IF('能力'!W74=0,"",'能力'!W74)</f>
      </c>
      <c r="AL174" s="1486"/>
      <c r="AM174" s="1486"/>
      <c r="AN174" s="1487"/>
      <c r="AO174" s="497"/>
      <c r="AP174" s="1485">
        <f>IF('能力'!Y74=0,"",'能力'!Y74)</f>
      </c>
      <c r="AQ174" s="1486"/>
      <c r="AR174" s="1486"/>
      <c r="AS174" s="1487"/>
      <c r="AT174" s="497"/>
      <c r="AU174" s="1485">
        <f>IF('能力'!AA74=0,"",'能力'!AA74)</f>
      </c>
      <c r="AV174" s="1486"/>
      <c r="AW174" s="1486"/>
      <c r="AX174" s="1487"/>
      <c r="AY174" s="497"/>
      <c r="AZ174" s="1485">
        <f>IF('能力'!AC74=0,"",'能力'!AC74)</f>
      </c>
      <c r="BA174" s="1486"/>
      <c r="BB174" s="1486"/>
      <c r="BC174" s="1487"/>
      <c r="BD174" s="497"/>
      <c r="BE174" s="1485">
        <f>IF('能力'!AE74=0,"",'能力'!AE74)</f>
      </c>
      <c r="BF174" s="1486"/>
      <c r="BG174" s="1486"/>
      <c r="BH174" s="1487"/>
      <c r="BI174" s="497"/>
      <c r="BJ174" s="1485">
        <f>IF('能力'!AG74=0,"",'能力'!AG74)</f>
      </c>
      <c r="BK174" s="1486"/>
      <c r="BL174" s="1486"/>
      <c r="BM174" s="1487"/>
      <c r="BN174" s="497"/>
      <c r="BO174" s="1485">
        <f>IF('能力'!AI74=0,"",'能力'!AI74)</f>
      </c>
      <c r="BP174" s="1486"/>
      <c r="BQ174" s="1486"/>
      <c r="BR174" s="1487"/>
      <c r="BS174" s="497"/>
      <c r="BT174" s="1485">
        <f>IF('能力'!AK74=0,"",'能力'!AK74)</f>
      </c>
      <c r="BU174" s="1486"/>
      <c r="BV174" s="1486"/>
      <c r="BW174" s="1487"/>
      <c r="BX174" s="485"/>
      <c r="BY174" s="1498">
        <f>IF('呪文2'!L8=0,"",'呪文2'!L8)</f>
      </c>
      <c r="BZ174" s="1499"/>
      <c r="CA174" s="1499"/>
      <c r="CB174" s="1499"/>
      <c r="CC174" s="1499"/>
      <c r="CD174" s="1499"/>
      <c r="CE174" s="1499"/>
      <c r="CF174" s="1499"/>
      <c r="CG174" s="1499"/>
      <c r="CH174" s="1499"/>
      <c r="CI174" s="1499"/>
      <c r="CJ174" s="1499"/>
      <c r="CK174" s="1499"/>
      <c r="CL174" s="1499"/>
      <c r="CM174" s="1499"/>
      <c r="CN174" s="1499"/>
      <c r="CO174" s="1499"/>
      <c r="CP174" s="1499"/>
      <c r="CQ174" s="1499"/>
      <c r="CR174" s="1499"/>
      <c r="CS174" s="1499"/>
      <c r="CT174" s="1499"/>
      <c r="CU174" s="1499"/>
      <c r="CV174" s="1499"/>
      <c r="CW174" s="1500"/>
    </row>
    <row r="175" spans="1:101" ht="10.5" customHeight="1" thickBot="1">
      <c r="A175" s="227"/>
      <c r="B175" s="227"/>
      <c r="C175" s="227"/>
      <c r="D175" s="227"/>
      <c r="E175" s="227"/>
      <c r="F175" s="227"/>
      <c r="G175" s="227"/>
      <c r="H175" s="161"/>
      <c r="I175" s="485"/>
      <c r="J175" s="485"/>
      <c r="K175" s="485"/>
      <c r="L175" s="485"/>
      <c r="M175" s="485"/>
      <c r="N175" s="485"/>
      <c r="O175" s="485"/>
      <c r="P175" s="485"/>
      <c r="Q175" s="485"/>
      <c r="R175" s="485"/>
      <c r="S175" s="485"/>
      <c r="T175" s="485"/>
      <c r="U175" s="485"/>
      <c r="V175" s="498"/>
      <c r="W175" s="1634"/>
      <c r="X175" s="1634"/>
      <c r="Y175" s="1634"/>
      <c r="Z175" s="1635"/>
      <c r="AA175" s="1488"/>
      <c r="AB175" s="1489"/>
      <c r="AC175" s="1489"/>
      <c r="AD175" s="1490"/>
      <c r="AE175" s="499"/>
      <c r="AF175" s="1488"/>
      <c r="AG175" s="1489"/>
      <c r="AH175" s="1489"/>
      <c r="AI175" s="1490"/>
      <c r="AJ175" s="497"/>
      <c r="AK175" s="1488"/>
      <c r="AL175" s="1489"/>
      <c r="AM175" s="1489"/>
      <c r="AN175" s="1490"/>
      <c r="AO175" s="499"/>
      <c r="AP175" s="1488"/>
      <c r="AQ175" s="1489"/>
      <c r="AR175" s="1489"/>
      <c r="AS175" s="1490"/>
      <c r="AT175" s="499"/>
      <c r="AU175" s="1488"/>
      <c r="AV175" s="1489"/>
      <c r="AW175" s="1489"/>
      <c r="AX175" s="1490"/>
      <c r="AY175" s="497"/>
      <c r="AZ175" s="1488"/>
      <c r="BA175" s="1489"/>
      <c r="BB175" s="1489"/>
      <c r="BC175" s="1490"/>
      <c r="BD175" s="486"/>
      <c r="BE175" s="1488"/>
      <c r="BF175" s="1489"/>
      <c r="BG175" s="1489"/>
      <c r="BH175" s="1490"/>
      <c r="BI175" s="486"/>
      <c r="BJ175" s="1488"/>
      <c r="BK175" s="1489"/>
      <c r="BL175" s="1489"/>
      <c r="BM175" s="1490"/>
      <c r="BN175" s="486"/>
      <c r="BO175" s="1488"/>
      <c r="BP175" s="1489"/>
      <c r="BQ175" s="1489"/>
      <c r="BR175" s="1490"/>
      <c r="BS175" s="486"/>
      <c r="BT175" s="1488"/>
      <c r="BU175" s="1489"/>
      <c r="BV175" s="1489"/>
      <c r="BW175" s="1490"/>
      <c r="BX175" s="485"/>
      <c r="BY175" s="1501"/>
      <c r="BZ175" s="1502"/>
      <c r="CA175" s="1502"/>
      <c r="CB175" s="1502"/>
      <c r="CC175" s="1502"/>
      <c r="CD175" s="1502"/>
      <c r="CE175" s="1502"/>
      <c r="CF175" s="1502"/>
      <c r="CG175" s="1502"/>
      <c r="CH175" s="1502"/>
      <c r="CI175" s="1502"/>
      <c r="CJ175" s="1502"/>
      <c r="CK175" s="1502"/>
      <c r="CL175" s="1502"/>
      <c r="CM175" s="1502"/>
      <c r="CN175" s="1502"/>
      <c r="CO175" s="1502"/>
      <c r="CP175" s="1502"/>
      <c r="CQ175" s="1502"/>
      <c r="CR175" s="1502"/>
      <c r="CS175" s="1502"/>
      <c r="CT175" s="1502"/>
      <c r="CU175" s="1502"/>
      <c r="CV175" s="1502"/>
      <c r="CW175" s="1503"/>
    </row>
    <row r="176" spans="1:101" ht="10.5" customHeight="1" hidden="1" thickBot="1">
      <c r="A176" s="232"/>
      <c r="B176" s="232"/>
      <c r="C176" s="232"/>
      <c r="D176" s="232"/>
      <c r="E176" s="232"/>
      <c r="F176" s="232"/>
      <c r="G176" s="232"/>
      <c r="H176" s="229"/>
      <c r="I176" s="233"/>
      <c r="J176" s="234"/>
      <c r="K176" s="234"/>
      <c r="L176" s="234"/>
      <c r="M176" s="230"/>
      <c r="N176" s="235"/>
      <c r="O176" s="235"/>
      <c r="P176" s="235"/>
      <c r="Q176" s="235"/>
      <c r="R176" s="235"/>
      <c r="S176" s="235"/>
      <c r="T176" s="235"/>
      <c r="U176" s="223"/>
      <c r="V176" s="223"/>
      <c r="W176" s="342"/>
      <c r="X176" s="342"/>
      <c r="Y176" s="342"/>
      <c r="Z176" s="342"/>
      <c r="AA176" s="226"/>
      <c r="AB176" s="226"/>
      <c r="AC176" s="226"/>
      <c r="AD176" s="226"/>
      <c r="AE176" s="226"/>
      <c r="AF176" s="226"/>
      <c r="AG176" s="226"/>
      <c r="AH176" s="226"/>
      <c r="AI176" s="226"/>
      <c r="AJ176" s="226"/>
      <c r="AK176" s="226"/>
      <c r="AL176" s="226"/>
      <c r="AM176" s="226"/>
      <c r="AN176" s="226"/>
      <c r="AO176" s="226"/>
      <c r="AP176" s="226"/>
      <c r="AQ176" s="226"/>
      <c r="AR176" s="226"/>
      <c r="AS176" s="226"/>
      <c r="AT176" s="226"/>
      <c r="AU176" s="226"/>
      <c r="AV176" s="226"/>
      <c r="AW176" s="226"/>
      <c r="AX176" s="226"/>
      <c r="AY176" s="226"/>
      <c r="AZ176" s="226"/>
      <c r="BA176" s="226"/>
      <c r="BB176" s="226"/>
      <c r="BC176" s="226"/>
      <c r="BD176" s="226"/>
      <c r="BE176" s="226"/>
      <c r="BF176" s="226"/>
      <c r="BG176" s="226"/>
      <c r="BH176" s="226"/>
      <c r="BI176" s="226"/>
      <c r="BJ176" s="226"/>
      <c r="BK176" s="226"/>
      <c r="BL176" s="226"/>
      <c r="BM176" s="226"/>
      <c r="BN176" s="226"/>
      <c r="BO176" s="226"/>
      <c r="BP176" s="226"/>
      <c r="BQ176" s="226"/>
      <c r="BR176" s="226"/>
      <c r="BS176" s="226"/>
      <c r="BT176" s="226"/>
      <c r="BU176" s="226"/>
      <c r="BV176" s="236"/>
      <c r="BW176" s="236"/>
      <c r="BX176" s="223"/>
      <c r="BY176" s="237"/>
      <c r="BZ176" s="237"/>
      <c r="CA176" s="237"/>
      <c r="CB176" s="237"/>
      <c r="CC176" s="237"/>
      <c r="CD176" s="237"/>
      <c r="CE176" s="237"/>
      <c r="CF176" s="237"/>
      <c r="CG176" s="237"/>
      <c r="CH176" s="237"/>
      <c r="CI176" s="237"/>
      <c r="CJ176" s="237"/>
      <c r="CK176" s="237"/>
      <c r="CL176" s="237"/>
      <c r="CM176" s="237"/>
      <c r="CN176" s="237"/>
      <c r="CO176" s="237"/>
      <c r="CP176" s="237"/>
      <c r="CQ176" s="237"/>
      <c r="CR176" s="237"/>
      <c r="CS176" s="237"/>
      <c r="CT176" s="237"/>
      <c r="CU176" s="237"/>
      <c r="CV176" s="231"/>
      <c r="CW176" s="231"/>
    </row>
    <row r="177" spans="1:101" ht="10.5" customHeight="1">
      <c r="A177" s="387"/>
      <c r="B177" s="387"/>
      <c r="C177" s="387"/>
      <c r="D177" s="387"/>
      <c r="E177" s="387"/>
      <c r="F177" s="387"/>
      <c r="G177" s="387"/>
      <c r="H177" s="388"/>
      <c r="I177" s="389"/>
      <c r="J177" s="386"/>
      <c r="K177" s="386"/>
      <c r="L177" s="386"/>
      <c r="M177" s="386"/>
      <c r="N177" s="386"/>
      <c r="O177" s="386"/>
      <c r="P177" s="386"/>
      <c r="Q177" s="386"/>
      <c r="R177" s="386"/>
      <c r="S177" s="386"/>
      <c r="T177" s="386"/>
      <c r="U177" s="225"/>
      <c r="V177" s="230"/>
      <c r="W177" s="383"/>
      <c r="X177" s="383"/>
      <c r="Y177" s="383"/>
      <c r="Z177" s="383"/>
      <c r="AA177" s="380"/>
      <c r="AB177" s="380"/>
      <c r="AC177" s="380"/>
      <c r="AD177" s="380"/>
      <c r="AE177" s="224"/>
      <c r="AF177" s="380"/>
      <c r="AG177" s="380"/>
      <c r="AH177" s="380"/>
      <c r="AI177" s="380"/>
      <c r="AJ177" s="224"/>
      <c r="AK177" s="380"/>
      <c r="AL177" s="380"/>
      <c r="AM177" s="380"/>
      <c r="AN177" s="380"/>
      <c r="AO177" s="224"/>
      <c r="AP177" s="380"/>
      <c r="AQ177" s="380"/>
      <c r="AR177" s="380"/>
      <c r="AS177" s="380"/>
      <c r="AT177" s="224"/>
      <c r="AU177" s="380"/>
      <c r="AV177" s="380"/>
      <c r="AW177" s="380"/>
      <c r="AX177" s="380"/>
      <c r="AY177" s="224"/>
      <c r="AZ177" s="380"/>
      <c r="BA177" s="380"/>
      <c r="BB177" s="380"/>
      <c r="BC177" s="380"/>
      <c r="BD177" s="224"/>
      <c r="BE177" s="380"/>
      <c r="BF177" s="380"/>
      <c r="BG177" s="380"/>
      <c r="BH177" s="380"/>
      <c r="BI177" s="224"/>
      <c r="BJ177" s="380"/>
      <c r="BK177" s="380"/>
      <c r="BL177" s="380"/>
      <c r="BM177" s="380"/>
      <c r="BN177" s="224"/>
      <c r="BO177" s="380"/>
      <c r="BP177" s="380"/>
      <c r="BQ177" s="380"/>
      <c r="BR177" s="380"/>
      <c r="BS177" s="224"/>
      <c r="BT177" s="380"/>
      <c r="BU177" s="380"/>
      <c r="BV177" s="380"/>
      <c r="BW177" s="380"/>
      <c r="BX177" s="239"/>
      <c r="BY177" s="384"/>
      <c r="BZ177" s="238"/>
      <c r="CA177" s="238"/>
      <c r="CB177" s="238"/>
      <c r="CC177" s="238"/>
      <c r="CD177" s="238"/>
      <c r="CE177" s="238"/>
      <c r="CF177" s="238"/>
      <c r="CG177" s="238"/>
      <c r="CH177" s="238"/>
      <c r="CI177" s="238"/>
      <c r="CJ177" s="238"/>
      <c r="CK177" s="238"/>
      <c r="CL177" s="238"/>
      <c r="CM177" s="238"/>
      <c r="CN177" s="238"/>
      <c r="CO177" s="238"/>
      <c r="CP177" s="238"/>
      <c r="CQ177" s="238"/>
      <c r="CR177" s="238"/>
      <c r="CS177" s="238"/>
      <c r="CT177" s="238"/>
      <c r="CU177" s="238"/>
      <c r="CV177" s="385"/>
      <c r="CW177" s="385"/>
    </row>
    <row r="178" spans="1:101" ht="10.5" customHeight="1">
      <c r="A178" s="1613" t="s">
        <v>883</v>
      </c>
      <c r="B178" s="1614"/>
      <c r="C178" s="1614"/>
      <c r="D178" s="1614"/>
      <c r="E178" s="1614"/>
      <c r="F178" s="1614"/>
      <c r="G178" s="1614"/>
      <c r="H178" s="1614"/>
      <c r="I178" s="1614"/>
      <c r="J178" s="1614"/>
      <c r="K178" s="1614"/>
      <c r="L178" s="1614"/>
      <c r="M178" s="1614"/>
      <c r="N178" s="1614"/>
      <c r="O178" s="1614"/>
      <c r="P178" s="1614"/>
      <c r="Q178" s="1614"/>
      <c r="R178" s="1614"/>
      <c r="S178" s="1614"/>
      <c r="T178" s="1614"/>
      <c r="U178" s="1614"/>
      <c r="V178" s="1614"/>
      <c r="W178" s="1614"/>
      <c r="X178" s="1614"/>
      <c r="Y178" s="1614"/>
      <c r="Z178" s="1614"/>
      <c r="AA178" s="1614"/>
      <c r="AB178" s="1614"/>
      <c r="AC178" s="1614"/>
      <c r="AD178" s="1614"/>
      <c r="AE178" s="1614"/>
      <c r="AF178" s="1614"/>
      <c r="AG178" s="1614"/>
      <c r="AH178" s="1615"/>
      <c r="AI178" s="241"/>
      <c r="AJ178" s="227"/>
      <c r="AK178" s="1613" t="s">
        <v>884</v>
      </c>
      <c r="AL178" s="1614"/>
      <c r="AM178" s="1614"/>
      <c r="AN178" s="1614"/>
      <c r="AO178" s="1614"/>
      <c r="AP178" s="1614"/>
      <c r="AQ178" s="1614"/>
      <c r="AR178" s="1614"/>
      <c r="AS178" s="1614"/>
      <c r="AT178" s="1614"/>
      <c r="AU178" s="1614"/>
      <c r="AV178" s="1614"/>
      <c r="AW178" s="1614"/>
      <c r="AX178" s="1614"/>
      <c r="AY178" s="1614"/>
      <c r="AZ178" s="1614"/>
      <c r="BA178" s="1614"/>
      <c r="BB178" s="1614"/>
      <c r="BC178" s="1614"/>
      <c r="BD178" s="1614"/>
      <c r="BE178" s="1614"/>
      <c r="BF178" s="1614"/>
      <c r="BG178" s="1614"/>
      <c r="BH178" s="1614"/>
      <c r="BI178" s="1614"/>
      <c r="BJ178" s="1614"/>
      <c r="BK178" s="1615"/>
      <c r="BL178" s="242"/>
      <c r="BM178" s="242"/>
      <c r="BN178" s="1613" t="s">
        <v>885</v>
      </c>
      <c r="BO178" s="1614"/>
      <c r="BP178" s="1614"/>
      <c r="BQ178" s="1614"/>
      <c r="BR178" s="1614"/>
      <c r="BS178" s="1614"/>
      <c r="BT178" s="1614"/>
      <c r="BU178" s="1614"/>
      <c r="BV178" s="1614"/>
      <c r="BW178" s="1614"/>
      <c r="BX178" s="1614"/>
      <c r="BY178" s="1614"/>
      <c r="BZ178" s="1614"/>
      <c r="CA178" s="1614"/>
      <c r="CB178" s="1614"/>
      <c r="CC178" s="1614"/>
      <c r="CD178" s="1614"/>
      <c r="CE178" s="1614"/>
      <c r="CF178" s="1614"/>
      <c r="CG178" s="1614"/>
      <c r="CH178" s="1614"/>
      <c r="CI178" s="1614"/>
      <c r="CJ178" s="1614"/>
      <c r="CK178" s="1614"/>
      <c r="CL178" s="1614"/>
      <c r="CM178" s="1614"/>
      <c r="CN178" s="1614"/>
      <c r="CO178" s="1614"/>
      <c r="CP178" s="1614"/>
      <c r="CQ178" s="1614"/>
      <c r="CR178" s="1614"/>
      <c r="CS178" s="1614"/>
      <c r="CT178" s="1614"/>
      <c r="CU178" s="1614"/>
      <c r="CV178" s="1614"/>
      <c r="CW178" s="1615"/>
    </row>
    <row r="179" spans="1:101" ht="10.5" customHeight="1">
      <c r="A179" s="1691"/>
      <c r="B179" s="1692"/>
      <c r="C179" s="1692"/>
      <c r="D179" s="1692"/>
      <c r="E179" s="1692"/>
      <c r="F179" s="1692"/>
      <c r="G179" s="1692"/>
      <c r="H179" s="1692"/>
      <c r="I179" s="1692"/>
      <c r="J179" s="1692"/>
      <c r="K179" s="1692"/>
      <c r="L179" s="1692"/>
      <c r="M179" s="1692"/>
      <c r="N179" s="1692"/>
      <c r="O179" s="1692"/>
      <c r="P179" s="1692"/>
      <c r="Q179" s="1692"/>
      <c r="R179" s="1692"/>
      <c r="S179" s="1692"/>
      <c r="T179" s="1692"/>
      <c r="U179" s="1692"/>
      <c r="V179" s="1692"/>
      <c r="W179" s="1692"/>
      <c r="X179" s="1692"/>
      <c r="Y179" s="1692"/>
      <c r="Z179" s="1692"/>
      <c r="AA179" s="1692"/>
      <c r="AB179" s="1692"/>
      <c r="AC179" s="1692"/>
      <c r="AD179" s="1692"/>
      <c r="AE179" s="1692"/>
      <c r="AF179" s="1692"/>
      <c r="AG179" s="1692"/>
      <c r="AH179" s="1693"/>
      <c r="AI179" s="241"/>
      <c r="AJ179" s="241"/>
      <c r="AK179" s="1691"/>
      <c r="AL179" s="1692"/>
      <c r="AM179" s="1692"/>
      <c r="AN179" s="1692"/>
      <c r="AO179" s="1692"/>
      <c r="AP179" s="1692"/>
      <c r="AQ179" s="1692"/>
      <c r="AR179" s="1692"/>
      <c r="AS179" s="1692"/>
      <c r="AT179" s="1692"/>
      <c r="AU179" s="1692"/>
      <c r="AV179" s="1692"/>
      <c r="AW179" s="1692"/>
      <c r="AX179" s="1692"/>
      <c r="AY179" s="1692"/>
      <c r="AZ179" s="1692"/>
      <c r="BA179" s="1692"/>
      <c r="BB179" s="1692"/>
      <c r="BC179" s="1692"/>
      <c r="BD179" s="1692"/>
      <c r="BE179" s="1692"/>
      <c r="BF179" s="1692"/>
      <c r="BG179" s="1692"/>
      <c r="BH179" s="1692"/>
      <c r="BI179" s="1692"/>
      <c r="BJ179" s="1692"/>
      <c r="BK179" s="1693"/>
      <c r="BL179" s="241"/>
      <c r="BM179" s="241"/>
      <c r="BN179" s="1616"/>
      <c r="BO179" s="1617"/>
      <c r="BP179" s="1617"/>
      <c r="BQ179" s="1617"/>
      <c r="BR179" s="1617"/>
      <c r="BS179" s="1617"/>
      <c r="BT179" s="1617"/>
      <c r="BU179" s="1617"/>
      <c r="BV179" s="1617"/>
      <c r="BW179" s="1617"/>
      <c r="BX179" s="1617"/>
      <c r="BY179" s="1617"/>
      <c r="BZ179" s="1617"/>
      <c r="CA179" s="1617"/>
      <c r="CB179" s="1617"/>
      <c r="CC179" s="1617"/>
      <c r="CD179" s="1617"/>
      <c r="CE179" s="1617"/>
      <c r="CF179" s="1617"/>
      <c r="CG179" s="1617"/>
      <c r="CH179" s="1617"/>
      <c r="CI179" s="1617"/>
      <c r="CJ179" s="1617"/>
      <c r="CK179" s="1617"/>
      <c r="CL179" s="1617"/>
      <c r="CM179" s="1617"/>
      <c r="CN179" s="1617"/>
      <c r="CO179" s="1617"/>
      <c r="CP179" s="1617"/>
      <c r="CQ179" s="1617"/>
      <c r="CR179" s="1617"/>
      <c r="CS179" s="1617"/>
      <c r="CT179" s="1617"/>
      <c r="CU179" s="1617"/>
      <c r="CV179" s="1617"/>
      <c r="CW179" s="1618"/>
    </row>
    <row r="180" spans="1:103" ht="20.25" customHeight="1">
      <c r="A180" s="1815">
        <v>1</v>
      </c>
      <c r="B180" s="1816"/>
      <c r="C180" s="1816"/>
      <c r="D180" s="502" t="s">
        <v>718</v>
      </c>
      <c r="E180" s="1811" t="str">
        <f>IF('能力'!AD38=0,"",'能力'!AD38)</f>
        <v>Weapon Focus</v>
      </c>
      <c r="F180" s="1811"/>
      <c r="G180" s="1811"/>
      <c r="H180" s="1811"/>
      <c r="I180" s="1811"/>
      <c r="J180" s="1811"/>
      <c r="K180" s="1811"/>
      <c r="L180" s="1811"/>
      <c r="M180" s="1811"/>
      <c r="N180" s="1811"/>
      <c r="O180" s="1811"/>
      <c r="P180" s="1811"/>
      <c r="Q180" s="1811"/>
      <c r="R180" s="1811"/>
      <c r="S180" s="1811"/>
      <c r="T180" s="1811"/>
      <c r="U180" s="1811"/>
      <c r="V180" s="1811"/>
      <c r="W180" s="1811"/>
      <c r="X180" s="1811"/>
      <c r="Y180" s="1811"/>
      <c r="Z180" s="1811"/>
      <c r="AA180" s="1811"/>
      <c r="AB180" s="1811"/>
      <c r="AC180" s="1811"/>
      <c r="AD180" s="1811"/>
      <c r="AE180" s="1811"/>
      <c r="AF180" s="1811"/>
      <c r="AG180" s="1811"/>
      <c r="AH180" s="1812"/>
      <c r="AI180" s="503"/>
      <c r="AJ180" s="504"/>
      <c r="AK180" s="1514" t="str">
        <f>IF('能力'!AN64=0,"","［"&amp;'能力'!AN64&amp;"］  ")&amp;IF('能力'!AQ64=0,"",'能力'!AQ64)</f>
        <v>［Brb1］  Rage 27Round/day</v>
      </c>
      <c r="AL180" s="1515"/>
      <c r="AM180" s="1515"/>
      <c r="AN180" s="1515"/>
      <c r="AO180" s="1515"/>
      <c r="AP180" s="1515"/>
      <c r="AQ180" s="1515"/>
      <c r="AR180" s="1515"/>
      <c r="AS180" s="1515"/>
      <c r="AT180" s="1515"/>
      <c r="AU180" s="1515"/>
      <c r="AV180" s="1515"/>
      <c r="AW180" s="1515"/>
      <c r="AX180" s="1515"/>
      <c r="AY180" s="1515"/>
      <c r="AZ180" s="1515"/>
      <c r="BA180" s="1515"/>
      <c r="BB180" s="1515"/>
      <c r="BC180" s="1515"/>
      <c r="BD180" s="1515"/>
      <c r="BE180" s="1515"/>
      <c r="BF180" s="1515"/>
      <c r="BG180" s="1515"/>
      <c r="BH180" s="1515"/>
      <c r="BI180" s="1515"/>
      <c r="BJ180" s="1515"/>
      <c r="BK180" s="1516"/>
      <c r="BL180" s="431"/>
      <c r="BM180" s="431"/>
      <c r="BN180" s="1810"/>
      <c r="BO180" s="1808"/>
      <c r="BP180" s="1808"/>
      <c r="BQ180" s="1808"/>
      <c r="BR180" s="1808"/>
      <c r="BS180" s="1808"/>
      <c r="BT180" s="1808"/>
      <c r="BU180" s="1808"/>
      <c r="BV180" s="1808"/>
      <c r="BW180" s="1808"/>
      <c r="BX180" s="1808"/>
      <c r="BY180" s="1808"/>
      <c r="BZ180" s="1808"/>
      <c r="CA180" s="1808"/>
      <c r="CB180" s="1808"/>
      <c r="CC180" s="1808"/>
      <c r="CD180" s="1808"/>
      <c r="CE180" s="1808"/>
      <c r="CF180" s="1808"/>
      <c r="CG180" s="1808"/>
      <c r="CH180" s="1808"/>
      <c r="CI180" s="1808"/>
      <c r="CJ180" s="1808"/>
      <c r="CK180" s="1808"/>
      <c r="CL180" s="1808"/>
      <c r="CM180" s="1808"/>
      <c r="CN180" s="1808"/>
      <c r="CO180" s="1808"/>
      <c r="CP180" s="1808"/>
      <c r="CQ180" s="1809"/>
      <c r="CR180" s="1619"/>
      <c r="CS180" s="1619"/>
      <c r="CT180" s="1813"/>
      <c r="CU180" s="1814"/>
      <c r="CV180" s="1806" t="s">
        <v>717</v>
      </c>
      <c r="CW180" s="1807"/>
      <c r="CX180" s="243" t="s">
        <v>219</v>
      </c>
      <c r="CY180" s="244"/>
    </row>
    <row r="181" spans="1:103" ht="20.25" customHeight="1">
      <c r="A181" s="1632">
        <v>3</v>
      </c>
      <c r="B181" s="1633"/>
      <c r="C181" s="1633"/>
      <c r="D181" s="505" t="s">
        <v>718</v>
      </c>
      <c r="E181" s="1689" t="str">
        <f>IF('能力'!AD40=0,"",'能力'!AD40)</f>
        <v>Blind-Fight</v>
      </c>
      <c r="F181" s="1689"/>
      <c r="G181" s="1689"/>
      <c r="H181" s="1689"/>
      <c r="I181" s="1689"/>
      <c r="J181" s="1689"/>
      <c r="K181" s="1689"/>
      <c r="L181" s="1689"/>
      <c r="M181" s="1689"/>
      <c r="N181" s="1689"/>
      <c r="O181" s="1689"/>
      <c r="P181" s="1689"/>
      <c r="Q181" s="1689"/>
      <c r="R181" s="1689"/>
      <c r="S181" s="1689"/>
      <c r="T181" s="1689"/>
      <c r="U181" s="1689"/>
      <c r="V181" s="1689"/>
      <c r="W181" s="1689"/>
      <c r="X181" s="1689"/>
      <c r="Y181" s="1689"/>
      <c r="Z181" s="1689"/>
      <c r="AA181" s="1689"/>
      <c r="AB181" s="1689"/>
      <c r="AC181" s="1689"/>
      <c r="AD181" s="1689"/>
      <c r="AE181" s="1689"/>
      <c r="AF181" s="1689"/>
      <c r="AG181" s="1689"/>
      <c r="AH181" s="1690"/>
      <c r="AI181" s="503"/>
      <c r="AJ181" s="504"/>
      <c r="AK181" s="1514">
        <f>IF('能力'!AN65=0,"","［"&amp;'能力'!AN65&amp;"］  ")&amp;IF('能力'!AQ65=0,"",'能力'!AQ65)</f>
      </c>
      <c r="AL181" s="1515"/>
      <c r="AM181" s="1515"/>
      <c r="AN181" s="1515"/>
      <c r="AO181" s="1515"/>
      <c r="AP181" s="1515"/>
      <c r="AQ181" s="1515"/>
      <c r="AR181" s="1515"/>
      <c r="AS181" s="1515"/>
      <c r="AT181" s="1515"/>
      <c r="AU181" s="1515"/>
      <c r="AV181" s="1515"/>
      <c r="AW181" s="1515"/>
      <c r="AX181" s="1515"/>
      <c r="AY181" s="1515"/>
      <c r="AZ181" s="1515"/>
      <c r="BA181" s="1515"/>
      <c r="BB181" s="1515"/>
      <c r="BC181" s="1515"/>
      <c r="BD181" s="1515"/>
      <c r="BE181" s="1515"/>
      <c r="BF181" s="1515"/>
      <c r="BG181" s="1515"/>
      <c r="BH181" s="1515"/>
      <c r="BI181" s="1515"/>
      <c r="BJ181" s="1515"/>
      <c r="BK181" s="1516"/>
      <c r="BL181" s="431"/>
      <c r="BM181" s="431"/>
      <c r="BN181" s="1157" t="str">
        <f>IF(INDEX('装備'!$C$59:$C$121,CX181)=0,"",CONCATENATE(INDEX('装備'!$C$59:$C$121,CX181),IF(INDEX('装備'!$K$59:$K$121,CX181)=0,"",CONCATENATE(" (",INDEX('装備'!$K$59:$K$121,CX181),"チャージ)")),IF(INDEX('装備'!$L$59:$L$121,CX181)=0,"",CONCATENATE(" (難易度",INDEX('装備'!$L$59:$L$121,CX181),")")),IF(INDEX('装備'!$D$59:$D$121,CX181)&lt;=1,"",CONCATENATE(" x",INDEX('装備'!$D$59:$D$121,CX181)))))</f>
        <v>Adventurer's Equipments</v>
      </c>
      <c r="BO181" s="1158"/>
      <c r="BP181" s="1158"/>
      <c r="BQ181" s="1158"/>
      <c r="BR181" s="1158"/>
      <c r="BS181" s="1158"/>
      <c r="BT181" s="1158"/>
      <c r="BU181" s="1158"/>
      <c r="BV181" s="1158"/>
      <c r="BW181" s="1158"/>
      <c r="BX181" s="1158"/>
      <c r="BY181" s="1158"/>
      <c r="BZ181" s="1158"/>
      <c r="CA181" s="1158"/>
      <c r="CB181" s="1158"/>
      <c r="CC181" s="1158"/>
      <c r="CD181" s="1158"/>
      <c r="CE181" s="1158"/>
      <c r="CF181" s="1158"/>
      <c r="CG181" s="1158"/>
      <c r="CH181" s="1158"/>
      <c r="CI181" s="1158"/>
      <c r="CJ181" s="1158"/>
      <c r="CK181" s="1158"/>
      <c r="CL181" s="1158"/>
      <c r="CM181" s="1158"/>
      <c r="CN181" s="1158"/>
      <c r="CO181" s="1158"/>
      <c r="CP181" s="1192">
        <f>IF(INDEX('装備'!$D$59:$D$121,CX181)=0,"",INDEX('装備'!$D$59:$D$121,CX181))</f>
        <v>1</v>
      </c>
      <c r="CQ181" s="1192"/>
      <c r="CR181" s="1192">
        <f>IF(INDEX('装備'!$I$59:$I$121,CX181)=0,"",INDEX('装備'!$I$59:$I$121,CX181))</f>
      </c>
      <c r="CS181" s="1192"/>
      <c r="CT181" s="1192">
        <f>IF(INDEX('装備'!$J$59:$J$121,CX181)=0,"",INDEX('装備'!$J$59:$J$121,CX181))</f>
      </c>
      <c r="CU181" s="1192"/>
      <c r="CV181" s="1192">
        <f>IF(INDEX('装備'!$F$59:$F$121,CX181)=0,"",INDEX('装備'!$F$59:$F$121,CX181))</f>
      </c>
      <c r="CW181" s="1193"/>
      <c r="CX181" s="1195">
        <v>1</v>
      </c>
      <c r="CY181" s="1196"/>
    </row>
    <row r="182" spans="1:103" ht="20.25" customHeight="1">
      <c r="A182" s="1632">
        <v>5</v>
      </c>
      <c r="B182" s="1633"/>
      <c r="C182" s="1633"/>
      <c r="D182" s="505" t="s">
        <v>718</v>
      </c>
      <c r="E182" s="1689" t="str">
        <f>IF('能力'!AD42=0,"",'能力'!AD42)</f>
        <v>Critical Focus</v>
      </c>
      <c r="F182" s="1689"/>
      <c r="G182" s="1689"/>
      <c r="H182" s="1689"/>
      <c r="I182" s="1689"/>
      <c r="J182" s="1689"/>
      <c r="K182" s="1689"/>
      <c r="L182" s="1689"/>
      <c r="M182" s="1689"/>
      <c r="N182" s="1689"/>
      <c r="O182" s="1689"/>
      <c r="P182" s="1689"/>
      <c r="Q182" s="1689"/>
      <c r="R182" s="1689"/>
      <c r="S182" s="1689"/>
      <c r="T182" s="1689"/>
      <c r="U182" s="1689"/>
      <c r="V182" s="1689"/>
      <c r="W182" s="1689"/>
      <c r="X182" s="1689"/>
      <c r="Y182" s="1689"/>
      <c r="Z182" s="1689"/>
      <c r="AA182" s="1689"/>
      <c r="AB182" s="1689"/>
      <c r="AC182" s="1689"/>
      <c r="AD182" s="1689"/>
      <c r="AE182" s="1689"/>
      <c r="AF182" s="1689"/>
      <c r="AG182" s="1689"/>
      <c r="AH182" s="1690"/>
      <c r="AI182" s="503"/>
      <c r="AJ182" s="504"/>
      <c r="AK182" s="1514">
        <f>IF('能力'!AN66=0,"","［"&amp;'能力'!AN66&amp;"］  ")&amp;IF('能力'!AQ66=0,"",'能力'!AQ66)</f>
      </c>
      <c r="AL182" s="1515"/>
      <c r="AM182" s="1515"/>
      <c r="AN182" s="1515"/>
      <c r="AO182" s="1515"/>
      <c r="AP182" s="1515"/>
      <c r="AQ182" s="1515"/>
      <c r="AR182" s="1515"/>
      <c r="AS182" s="1515"/>
      <c r="AT182" s="1515"/>
      <c r="AU182" s="1515"/>
      <c r="AV182" s="1515"/>
      <c r="AW182" s="1515"/>
      <c r="AX182" s="1515"/>
      <c r="AY182" s="1515"/>
      <c r="AZ182" s="1515"/>
      <c r="BA182" s="1515"/>
      <c r="BB182" s="1515"/>
      <c r="BC182" s="1515"/>
      <c r="BD182" s="1515"/>
      <c r="BE182" s="1515"/>
      <c r="BF182" s="1515"/>
      <c r="BG182" s="1515"/>
      <c r="BH182" s="1515"/>
      <c r="BI182" s="1515"/>
      <c r="BJ182" s="1515"/>
      <c r="BK182" s="1516"/>
      <c r="BL182" s="431"/>
      <c r="BM182" s="431"/>
      <c r="BN182" s="1157">
        <f>IF(INDEX('装備'!$C$59:$C$121,CX182)=0,"",CONCATENATE(INDEX('装備'!$C$59:$C$121,CX182),IF(INDEX('装備'!$K$59:$K$121,CX182)=0,"",CONCATENATE(" (",INDEX('装備'!$K$59:$K$121,CX182),"チャージ)")),IF(INDEX('装備'!$L$59:$L$121,CX182)=0,"",CONCATENATE(" (難易度",INDEX('装備'!$L$59:$L$121,CX182),")")),IF(INDEX('装備'!$D$59:$D$121,CX182)&lt;=1,"",CONCATENATE(" x",INDEX('装備'!$D$59:$D$121,CX182)))))</f>
      </c>
      <c r="BO182" s="1158"/>
      <c r="BP182" s="1158"/>
      <c r="BQ182" s="1158"/>
      <c r="BR182" s="1158"/>
      <c r="BS182" s="1158"/>
      <c r="BT182" s="1158"/>
      <c r="BU182" s="1158"/>
      <c r="BV182" s="1158"/>
      <c r="BW182" s="1158"/>
      <c r="BX182" s="1158"/>
      <c r="BY182" s="1158"/>
      <c r="BZ182" s="1158"/>
      <c r="CA182" s="1158"/>
      <c r="CB182" s="1158"/>
      <c r="CC182" s="1158"/>
      <c r="CD182" s="1158"/>
      <c r="CE182" s="1158"/>
      <c r="CF182" s="1158"/>
      <c r="CG182" s="1158"/>
      <c r="CH182" s="1158"/>
      <c r="CI182" s="1158"/>
      <c r="CJ182" s="1158"/>
      <c r="CK182" s="1158"/>
      <c r="CL182" s="1158"/>
      <c r="CM182" s="1158"/>
      <c r="CN182" s="1158"/>
      <c r="CO182" s="1158"/>
      <c r="CP182" s="1192">
        <f>IF(INDEX('装備'!$D$59:$D$121,CX182)=0,"",INDEX('装備'!$D$59:$D$121,CX182))</f>
      </c>
      <c r="CQ182" s="1192"/>
      <c r="CR182" s="1192">
        <f>IF(INDEX('装備'!$I$59:$I$121,CX182)=0,"",INDEX('装備'!$I$59:$I$121,CX182))</f>
      </c>
      <c r="CS182" s="1192"/>
      <c r="CT182" s="1192">
        <f>IF(INDEX('装備'!$J$59:$J$121,CX182)=0,"",INDEX('装備'!$J$59:$J$121,CX182))</f>
      </c>
      <c r="CU182" s="1192"/>
      <c r="CV182" s="1192">
        <f>IF(INDEX('装備'!$F$59:$F$121,CX182)=0,"",INDEX('装備'!$F$59:$F$121,CX182))</f>
      </c>
      <c r="CW182" s="1193"/>
      <c r="CX182" s="1195">
        <v>2</v>
      </c>
      <c r="CY182" s="1196"/>
    </row>
    <row r="183" spans="1:103" ht="20.25" customHeight="1">
      <c r="A183" s="1632">
        <v>7</v>
      </c>
      <c r="B183" s="1633"/>
      <c r="C183" s="1633"/>
      <c r="D183" s="505" t="s">
        <v>718</v>
      </c>
      <c r="E183" s="1689" t="str">
        <f>IF('能力'!AD44=0,"",'能力'!AD44)</f>
        <v>Lunge</v>
      </c>
      <c r="F183" s="1689"/>
      <c r="G183" s="1689"/>
      <c r="H183" s="1689"/>
      <c r="I183" s="1689"/>
      <c r="J183" s="1689"/>
      <c r="K183" s="1689"/>
      <c r="L183" s="1689"/>
      <c r="M183" s="1689"/>
      <c r="N183" s="1689"/>
      <c r="O183" s="1689"/>
      <c r="P183" s="1689"/>
      <c r="Q183" s="1689"/>
      <c r="R183" s="1689"/>
      <c r="S183" s="1689"/>
      <c r="T183" s="1689"/>
      <c r="U183" s="1689"/>
      <c r="V183" s="1689"/>
      <c r="W183" s="1689"/>
      <c r="X183" s="1689"/>
      <c r="Y183" s="1689"/>
      <c r="Z183" s="1689"/>
      <c r="AA183" s="1689"/>
      <c r="AB183" s="1689"/>
      <c r="AC183" s="1689"/>
      <c r="AD183" s="1689"/>
      <c r="AE183" s="1689"/>
      <c r="AF183" s="1689"/>
      <c r="AG183" s="1689"/>
      <c r="AH183" s="1690"/>
      <c r="AI183" s="503"/>
      <c r="AJ183" s="504"/>
      <c r="AK183" s="1514">
        <f>IF('能力'!AN67=0,"","［"&amp;'能力'!AN67&amp;"］  ")&amp;IF('能力'!AQ67=0,"",'能力'!AQ67)</f>
      </c>
      <c r="AL183" s="1515"/>
      <c r="AM183" s="1515"/>
      <c r="AN183" s="1515"/>
      <c r="AO183" s="1515"/>
      <c r="AP183" s="1515"/>
      <c r="AQ183" s="1515"/>
      <c r="AR183" s="1515"/>
      <c r="AS183" s="1515"/>
      <c r="AT183" s="1515"/>
      <c r="AU183" s="1515"/>
      <c r="AV183" s="1515"/>
      <c r="AW183" s="1515"/>
      <c r="AX183" s="1515"/>
      <c r="AY183" s="1515"/>
      <c r="AZ183" s="1515"/>
      <c r="BA183" s="1515"/>
      <c r="BB183" s="1515"/>
      <c r="BC183" s="1515"/>
      <c r="BD183" s="1515"/>
      <c r="BE183" s="1515"/>
      <c r="BF183" s="1515"/>
      <c r="BG183" s="1515"/>
      <c r="BH183" s="1515"/>
      <c r="BI183" s="1515"/>
      <c r="BJ183" s="1515"/>
      <c r="BK183" s="1516"/>
      <c r="BL183" s="431"/>
      <c r="BM183" s="431"/>
      <c r="BN183" s="1157" t="str">
        <f>IF(INDEX('装備'!$C$59:$C$121,CX183)=0,"",CONCATENATE(INDEX('装備'!$C$59:$C$121,CX183),IF(INDEX('装備'!$K$59:$K$121,CX183)=0,"",CONCATENATE(" (",INDEX('装備'!$K$59:$K$121,CX183),"チャージ)")),IF(INDEX('装備'!$L$59:$L$121,CX183)=0,"",CONCATENATE(" (難易度",INDEX('装備'!$L$59:$L$121,CX183),")")),IF(INDEX('装備'!$D$59:$D$121,CX183)&lt;=1,"",CONCATENATE(" x",INDEX('装備'!$D$59:$D$121,CX183)))))</f>
        <v>Potion</v>
      </c>
      <c r="BO183" s="1158"/>
      <c r="BP183" s="1158"/>
      <c r="BQ183" s="1158"/>
      <c r="BR183" s="1158"/>
      <c r="BS183" s="1158"/>
      <c r="BT183" s="1158"/>
      <c r="BU183" s="1158"/>
      <c r="BV183" s="1158"/>
      <c r="BW183" s="1158"/>
      <c r="BX183" s="1158"/>
      <c r="BY183" s="1158"/>
      <c r="BZ183" s="1158"/>
      <c r="CA183" s="1158"/>
      <c r="CB183" s="1158"/>
      <c r="CC183" s="1158"/>
      <c r="CD183" s="1158"/>
      <c r="CE183" s="1158"/>
      <c r="CF183" s="1158"/>
      <c r="CG183" s="1158"/>
      <c r="CH183" s="1158"/>
      <c r="CI183" s="1158"/>
      <c r="CJ183" s="1158"/>
      <c r="CK183" s="1158"/>
      <c r="CL183" s="1158"/>
      <c r="CM183" s="1158"/>
      <c r="CN183" s="1158"/>
      <c r="CO183" s="1158"/>
      <c r="CP183" s="1192">
        <f>IF(INDEX('装備'!$D$59:$D$121,CX183)=0,"",INDEX('装備'!$D$59:$D$121,CX183))</f>
      </c>
      <c r="CQ183" s="1192"/>
      <c r="CR183" s="1192">
        <f>IF(INDEX('装備'!$I$59:$I$121,CX183)=0,"",INDEX('装備'!$I$59:$I$121,CX183))</f>
      </c>
      <c r="CS183" s="1192"/>
      <c r="CT183" s="1192">
        <f>IF(INDEX('装備'!$J$59:$J$121,CX183)=0,"",INDEX('装備'!$J$59:$J$121,CX183))</f>
      </c>
      <c r="CU183" s="1192"/>
      <c r="CV183" s="1192">
        <f>IF(INDEX('装備'!$F$59:$F$121,CX183)=0,"",INDEX('装備'!$F$59:$F$121,CX183))</f>
      </c>
      <c r="CW183" s="1193"/>
      <c r="CX183" s="1195">
        <v>3</v>
      </c>
      <c r="CY183" s="1196"/>
    </row>
    <row r="184" spans="1:103" ht="21" customHeight="1">
      <c r="A184" s="1632">
        <v>9</v>
      </c>
      <c r="B184" s="1633"/>
      <c r="C184" s="1633"/>
      <c r="D184" s="505" t="s">
        <v>718</v>
      </c>
      <c r="E184" s="1689" t="str">
        <f>IF('能力'!AD46=0,"",'能力'!AD46)</f>
        <v>Improved Critical</v>
      </c>
      <c r="F184" s="1689"/>
      <c r="G184" s="1689"/>
      <c r="H184" s="1689"/>
      <c r="I184" s="1689"/>
      <c r="J184" s="1689"/>
      <c r="K184" s="1689"/>
      <c r="L184" s="1689"/>
      <c r="M184" s="1689"/>
      <c r="N184" s="1689"/>
      <c r="O184" s="1689"/>
      <c r="P184" s="1689"/>
      <c r="Q184" s="1689"/>
      <c r="R184" s="1689"/>
      <c r="S184" s="1689"/>
      <c r="T184" s="1689"/>
      <c r="U184" s="1689"/>
      <c r="V184" s="1689"/>
      <c r="W184" s="1689"/>
      <c r="X184" s="1689"/>
      <c r="Y184" s="1689"/>
      <c r="Z184" s="1689"/>
      <c r="AA184" s="1689"/>
      <c r="AB184" s="1689"/>
      <c r="AC184" s="1689"/>
      <c r="AD184" s="1689"/>
      <c r="AE184" s="1689"/>
      <c r="AF184" s="1689"/>
      <c r="AG184" s="1689"/>
      <c r="AH184" s="1690"/>
      <c r="AI184" s="503"/>
      <c r="AJ184" s="504"/>
      <c r="AK184" s="1514">
        <f>IF('能力'!AN68=0,"","［"&amp;'能力'!AN68&amp;"］  ")&amp;IF('能力'!AQ68=0,"",'能力'!AQ68)</f>
      </c>
      <c r="AL184" s="1515"/>
      <c r="AM184" s="1515"/>
      <c r="AN184" s="1515"/>
      <c r="AO184" s="1515"/>
      <c r="AP184" s="1515"/>
      <c r="AQ184" s="1515"/>
      <c r="AR184" s="1515"/>
      <c r="AS184" s="1515"/>
      <c r="AT184" s="1515"/>
      <c r="AU184" s="1515"/>
      <c r="AV184" s="1515"/>
      <c r="AW184" s="1515"/>
      <c r="AX184" s="1515"/>
      <c r="AY184" s="1515"/>
      <c r="AZ184" s="1515"/>
      <c r="BA184" s="1515"/>
      <c r="BB184" s="1515"/>
      <c r="BC184" s="1515"/>
      <c r="BD184" s="1515"/>
      <c r="BE184" s="1515"/>
      <c r="BF184" s="1515"/>
      <c r="BG184" s="1515"/>
      <c r="BH184" s="1515"/>
      <c r="BI184" s="1515"/>
      <c r="BJ184" s="1515"/>
      <c r="BK184" s="1516"/>
      <c r="BL184" s="431"/>
      <c r="BM184" s="431"/>
      <c r="BN184" s="1157" t="str">
        <f>IF(INDEX('装備'!$C$59:$C$121,CX184)=0,"",CONCATENATE(INDEX('装備'!$C$59:$C$121,CX184),IF(INDEX('装備'!$K$59:$K$121,CX184)=0,"",CONCATENATE(" (",INDEX('装備'!$K$59:$K$121,CX184),"チャージ)")),IF(INDEX('装備'!$L$59:$L$121,CX184)=0,"",CONCATENATE(" (難易度",INDEX('装備'!$L$59:$L$121,CX184),")")),IF(INDEX('装備'!$D$59:$D$121,CX184)&lt;=1,"",CONCATENATE(" x",INDEX('装備'!$D$59:$D$121,CX184)))))</f>
        <v>  Fly x2</v>
      </c>
      <c r="BO184" s="1158"/>
      <c r="BP184" s="1158"/>
      <c r="BQ184" s="1158"/>
      <c r="BR184" s="1158"/>
      <c r="BS184" s="1158"/>
      <c r="BT184" s="1158"/>
      <c r="BU184" s="1158"/>
      <c r="BV184" s="1158"/>
      <c r="BW184" s="1158"/>
      <c r="BX184" s="1158"/>
      <c r="BY184" s="1158"/>
      <c r="BZ184" s="1158"/>
      <c r="CA184" s="1158"/>
      <c r="CB184" s="1158"/>
      <c r="CC184" s="1158"/>
      <c r="CD184" s="1158"/>
      <c r="CE184" s="1158"/>
      <c r="CF184" s="1158"/>
      <c r="CG184" s="1158"/>
      <c r="CH184" s="1158"/>
      <c r="CI184" s="1158"/>
      <c r="CJ184" s="1158"/>
      <c r="CK184" s="1158"/>
      <c r="CL184" s="1158"/>
      <c r="CM184" s="1158"/>
      <c r="CN184" s="1158"/>
      <c r="CO184" s="1158"/>
      <c r="CP184" s="1192">
        <f>IF(INDEX('装備'!$D$59:$D$121,CX184)=0,"",INDEX('装備'!$D$59:$D$121,CX184))</f>
        <v>2</v>
      </c>
      <c r="CQ184" s="1192"/>
      <c r="CR184" s="1192">
        <f>IF(INDEX('装備'!$I$59:$I$121,CX184)=0,"",INDEX('装備'!$I$59:$I$121,CX184))</f>
      </c>
      <c r="CS184" s="1192"/>
      <c r="CT184" s="1192">
        <f>IF(INDEX('装備'!$J$59:$J$121,CX184)=0,"",INDEX('装備'!$J$59:$J$121,CX184))</f>
      </c>
      <c r="CU184" s="1192"/>
      <c r="CV184" s="1192">
        <f>IF(INDEX('装備'!$F$59:$F$121,CX184)=0,"",INDEX('装備'!$F$59:$F$121,CX184))</f>
      </c>
      <c r="CW184" s="1193"/>
      <c r="CX184" s="1195">
        <v>4</v>
      </c>
      <c r="CY184" s="1196"/>
    </row>
    <row r="185" spans="1:103" ht="10.5" customHeight="1" hidden="1">
      <c r="A185" s="1632">
        <v>11</v>
      </c>
      <c r="B185" s="1633"/>
      <c r="C185" s="1633"/>
      <c r="D185" s="505" t="s">
        <v>718</v>
      </c>
      <c r="E185" s="1689" t="str">
        <f>IF('能力'!AD48=0,"",'能力'!AD48)</f>
        <v>Hindering Critical(Entangle)</v>
      </c>
      <c r="F185" s="1689"/>
      <c r="G185" s="1689"/>
      <c r="H185" s="1689"/>
      <c r="I185" s="1689"/>
      <c r="J185" s="1689"/>
      <c r="K185" s="1689"/>
      <c r="L185" s="1689"/>
      <c r="M185" s="1689"/>
      <c r="N185" s="1689"/>
      <c r="O185" s="1689"/>
      <c r="P185" s="1689"/>
      <c r="Q185" s="1689"/>
      <c r="R185" s="1689"/>
      <c r="S185" s="1689"/>
      <c r="T185" s="1689"/>
      <c r="U185" s="1689"/>
      <c r="V185" s="1689"/>
      <c r="W185" s="1689"/>
      <c r="X185" s="1689"/>
      <c r="Y185" s="1689"/>
      <c r="Z185" s="1689"/>
      <c r="AA185" s="1689"/>
      <c r="AB185" s="1689"/>
      <c r="AC185" s="1689"/>
      <c r="AD185" s="1689"/>
      <c r="AE185" s="1689"/>
      <c r="AF185" s="1689"/>
      <c r="AG185" s="1689"/>
      <c r="AH185" s="1690"/>
      <c r="AI185" s="503"/>
      <c r="AJ185" s="504"/>
      <c r="AK185" s="1514">
        <f>IF('能力'!AN69=0,"","［"&amp;'能力'!AN69&amp;"］  ")&amp;IF('能力'!AQ69=0,"",'能力'!AQ69)</f>
      </c>
      <c r="AL185" s="1515"/>
      <c r="AM185" s="1515"/>
      <c r="AN185" s="1515"/>
      <c r="AO185" s="1515"/>
      <c r="AP185" s="1515"/>
      <c r="AQ185" s="1515"/>
      <c r="AR185" s="1515"/>
      <c r="AS185" s="1515"/>
      <c r="AT185" s="1515"/>
      <c r="AU185" s="1515"/>
      <c r="AV185" s="1515"/>
      <c r="AW185" s="1515"/>
      <c r="AX185" s="1515"/>
      <c r="AY185" s="1515"/>
      <c r="AZ185" s="1515"/>
      <c r="BA185" s="1515"/>
      <c r="BB185" s="1515"/>
      <c r="BC185" s="1515"/>
      <c r="BD185" s="1515"/>
      <c r="BE185" s="1515"/>
      <c r="BF185" s="1515"/>
      <c r="BG185" s="1515"/>
      <c r="BH185" s="1515"/>
      <c r="BI185" s="1515"/>
      <c r="BJ185" s="1515"/>
      <c r="BK185" s="1516"/>
      <c r="BL185" s="431"/>
      <c r="BM185" s="431"/>
      <c r="BN185" s="1157" t="str">
        <f>IF(INDEX('装備'!$C$59:$C$121,CX185)=0,"",CONCATENATE(INDEX('装備'!$C$59:$C$121,CX185),IF(INDEX('装備'!$K$59:$K$121,CX185)=0,"",CONCATENATE(" (",INDEX('装備'!$K$59:$K$121,CX185),"チャージ)")),IF(INDEX('装備'!$L$59:$L$121,CX185)=0,"",CONCATENATE(" (難易度",INDEX('装備'!$L$59:$L$121,CX185),")")),IF(INDEX('装備'!$D$59:$D$121,CX185)&lt;=1,"",CONCATENATE(" x",INDEX('装備'!$D$59:$D$121,CX185)))))</f>
        <v>  Lesser Restoration x2</v>
      </c>
      <c r="BO185" s="1158"/>
      <c r="BP185" s="1158"/>
      <c r="BQ185" s="1158"/>
      <c r="BR185" s="1158"/>
      <c r="BS185" s="1158"/>
      <c r="BT185" s="1158"/>
      <c r="BU185" s="1158"/>
      <c r="BV185" s="1158"/>
      <c r="BW185" s="1158"/>
      <c r="BX185" s="1158"/>
      <c r="BY185" s="1158"/>
      <c r="BZ185" s="1158"/>
      <c r="CA185" s="1158"/>
      <c r="CB185" s="1158"/>
      <c r="CC185" s="1158"/>
      <c r="CD185" s="1158"/>
      <c r="CE185" s="1158"/>
      <c r="CF185" s="1158"/>
      <c r="CG185" s="1158"/>
      <c r="CH185" s="1158"/>
      <c r="CI185" s="1158"/>
      <c r="CJ185" s="1158"/>
      <c r="CK185" s="1158"/>
      <c r="CL185" s="1158"/>
      <c r="CM185" s="1158"/>
      <c r="CN185" s="1158"/>
      <c r="CO185" s="1158"/>
      <c r="CP185" s="1192">
        <f>IF(INDEX('装備'!$D$59:$D$121,CX185)=0,"",INDEX('装備'!$D$59:$D$121,CX185))</f>
        <v>2</v>
      </c>
      <c r="CQ185" s="1192"/>
      <c r="CR185" s="1192">
        <f>IF(INDEX('装備'!$I$59:$I$121,CX185)=0,"",INDEX('装備'!$I$59:$I$121,CX185))</f>
      </c>
      <c r="CS185" s="1192"/>
      <c r="CT185" s="1192">
        <f>IF(INDEX('装備'!$J$59:$J$121,CX185)=0,"",INDEX('装備'!$J$59:$J$121,CX185))</f>
      </c>
      <c r="CU185" s="1192"/>
      <c r="CV185" s="1192">
        <f>IF(INDEX('装備'!$F$59:$F$121,CX185)=0,"",INDEX('装備'!$F$59:$F$121,CX185))</f>
      </c>
      <c r="CW185" s="1193"/>
      <c r="CX185" s="1195">
        <v>5</v>
      </c>
      <c r="CY185" s="1196"/>
    </row>
    <row r="186" spans="1:103" ht="20.25" customHeight="1">
      <c r="A186" s="1632">
        <v>11</v>
      </c>
      <c r="B186" s="1633"/>
      <c r="C186" s="1633"/>
      <c r="D186" s="505" t="s">
        <v>718</v>
      </c>
      <c r="E186" s="1689" t="str">
        <f>IF('能力'!AD48=0,"",'能力'!AD48)</f>
        <v>Hindering Critical(Entangle)</v>
      </c>
      <c r="F186" s="1689"/>
      <c r="G186" s="1689"/>
      <c r="H186" s="1689"/>
      <c r="I186" s="1689"/>
      <c r="J186" s="1689"/>
      <c r="K186" s="1689"/>
      <c r="L186" s="1689"/>
      <c r="M186" s="1689"/>
      <c r="N186" s="1689"/>
      <c r="O186" s="1689"/>
      <c r="P186" s="1689"/>
      <c r="Q186" s="1689"/>
      <c r="R186" s="1689"/>
      <c r="S186" s="1689"/>
      <c r="T186" s="1689"/>
      <c r="U186" s="1689"/>
      <c r="V186" s="1689"/>
      <c r="W186" s="1689"/>
      <c r="X186" s="1689"/>
      <c r="Y186" s="1689"/>
      <c r="Z186" s="1689"/>
      <c r="AA186" s="1689"/>
      <c r="AB186" s="1689"/>
      <c r="AC186" s="1689"/>
      <c r="AD186" s="1689"/>
      <c r="AE186" s="1689"/>
      <c r="AF186" s="1689"/>
      <c r="AG186" s="1689"/>
      <c r="AH186" s="1690"/>
      <c r="AI186" s="503"/>
      <c r="AJ186" s="504"/>
      <c r="AK186" s="1514">
        <f>IF('能力'!AN70=0,"","［"&amp;'能力'!AN70&amp;"］  ")&amp;IF('能力'!AQ70=0,"",'能力'!AQ70)</f>
      </c>
      <c r="AL186" s="1515"/>
      <c r="AM186" s="1515"/>
      <c r="AN186" s="1515"/>
      <c r="AO186" s="1515"/>
      <c r="AP186" s="1515"/>
      <c r="AQ186" s="1515"/>
      <c r="AR186" s="1515"/>
      <c r="AS186" s="1515"/>
      <c r="AT186" s="1515"/>
      <c r="AU186" s="1515"/>
      <c r="AV186" s="1515"/>
      <c r="AW186" s="1515"/>
      <c r="AX186" s="1515"/>
      <c r="AY186" s="1515"/>
      <c r="AZ186" s="1515"/>
      <c r="BA186" s="1515"/>
      <c r="BB186" s="1515"/>
      <c r="BC186" s="1515"/>
      <c r="BD186" s="1515"/>
      <c r="BE186" s="1515"/>
      <c r="BF186" s="1515"/>
      <c r="BG186" s="1515"/>
      <c r="BH186" s="1515"/>
      <c r="BI186" s="1515"/>
      <c r="BJ186" s="1515"/>
      <c r="BK186" s="1516"/>
      <c r="BL186" s="431"/>
      <c r="BM186" s="431"/>
      <c r="BN186" s="1157" t="str">
        <f>IF(INDEX('装備'!$C$59:$C$121,CX186)=0,"",CONCATENATE(INDEX('装備'!$C$59:$C$121,CX186),IF(INDEX('装備'!$K$59:$K$121,CX186)=0,"",CONCATENATE(" (",INDEX('装備'!$K$59:$K$121,CX186),"チャージ)")),IF(INDEX('装備'!$L$59:$L$121,CX186)=0,"",CONCATENATE(" (難易度",INDEX('装備'!$L$59:$L$121,CX186),")")),IF(INDEX('装備'!$D$59:$D$121,CX186)&lt;=1,"",CONCATENATE(" x",INDEX('装備'!$D$59:$D$121,CX186)))))</f>
        <v>  Cure Light Wounds x2</v>
      </c>
      <c r="BO186" s="1158"/>
      <c r="BP186" s="1158"/>
      <c r="BQ186" s="1158"/>
      <c r="BR186" s="1158"/>
      <c r="BS186" s="1158"/>
      <c r="BT186" s="1158"/>
      <c r="BU186" s="1158"/>
      <c r="BV186" s="1158"/>
      <c r="BW186" s="1158"/>
      <c r="BX186" s="1158"/>
      <c r="BY186" s="1158"/>
      <c r="BZ186" s="1158"/>
      <c r="CA186" s="1158"/>
      <c r="CB186" s="1158"/>
      <c r="CC186" s="1158"/>
      <c r="CD186" s="1158"/>
      <c r="CE186" s="1158"/>
      <c r="CF186" s="1158"/>
      <c r="CG186" s="1158"/>
      <c r="CH186" s="1158"/>
      <c r="CI186" s="1158"/>
      <c r="CJ186" s="1158"/>
      <c r="CK186" s="1158"/>
      <c r="CL186" s="1158"/>
      <c r="CM186" s="1158"/>
      <c r="CN186" s="1158"/>
      <c r="CO186" s="1158"/>
      <c r="CP186" s="1192">
        <f>IF(INDEX('装備'!$D$59:$D$121,CX186)=0,"",INDEX('装備'!$D$59:$D$121,CX186))</f>
        <v>2</v>
      </c>
      <c r="CQ186" s="1192"/>
      <c r="CR186" s="1192">
        <f>IF(INDEX('装備'!$I$59:$I$121,CX186)=0,"",INDEX('装備'!$I$59:$I$121,CX186))</f>
      </c>
      <c r="CS186" s="1192"/>
      <c r="CT186" s="1192">
        <f>IF(INDEX('装備'!$J$59:$J$121,CX186)=0,"",INDEX('装備'!$J$59:$J$121,CX186))</f>
      </c>
      <c r="CU186" s="1192"/>
      <c r="CV186" s="1192">
        <f>IF(INDEX('装備'!$F$59:$F$121,CX186)=0,"",INDEX('装備'!$F$59:$F$121,CX186))</f>
      </c>
      <c r="CW186" s="1193"/>
      <c r="CX186" s="1195">
        <v>6</v>
      </c>
      <c r="CY186" s="1196"/>
    </row>
    <row r="187" spans="1:103" ht="20.25" customHeight="1">
      <c r="A187" s="1632">
        <v>13</v>
      </c>
      <c r="B187" s="1633"/>
      <c r="C187" s="1633"/>
      <c r="D187" s="505" t="s">
        <v>718</v>
      </c>
      <c r="E187" s="1689">
        <f>IF('能力'!AD50=0,"",'能力'!AD50)</f>
      </c>
      <c r="F187" s="1689"/>
      <c r="G187" s="1689"/>
      <c r="H187" s="1689"/>
      <c r="I187" s="1689"/>
      <c r="J187" s="1689"/>
      <c r="K187" s="1689"/>
      <c r="L187" s="1689"/>
      <c r="M187" s="1689"/>
      <c r="N187" s="1689"/>
      <c r="O187" s="1689"/>
      <c r="P187" s="1689"/>
      <c r="Q187" s="1689"/>
      <c r="R187" s="1689"/>
      <c r="S187" s="1689"/>
      <c r="T187" s="1689"/>
      <c r="U187" s="1689"/>
      <c r="V187" s="1689"/>
      <c r="W187" s="1689"/>
      <c r="X187" s="1689"/>
      <c r="Y187" s="1689"/>
      <c r="Z187" s="1689"/>
      <c r="AA187" s="1689"/>
      <c r="AB187" s="1689"/>
      <c r="AC187" s="1689"/>
      <c r="AD187" s="1689"/>
      <c r="AE187" s="1689"/>
      <c r="AF187" s="1689"/>
      <c r="AG187" s="1689"/>
      <c r="AH187" s="1690"/>
      <c r="AI187" s="503"/>
      <c r="AJ187" s="504"/>
      <c r="AK187" s="1514">
        <f>IF('能力'!AN71=0,"","［"&amp;'能力'!AN71&amp;"］  ")&amp;IF('能力'!AQ71=0,"",'能力'!AQ71)</f>
      </c>
      <c r="AL187" s="1515"/>
      <c r="AM187" s="1515"/>
      <c r="AN187" s="1515"/>
      <c r="AO187" s="1515"/>
      <c r="AP187" s="1515"/>
      <c r="AQ187" s="1515"/>
      <c r="AR187" s="1515"/>
      <c r="AS187" s="1515"/>
      <c r="AT187" s="1515"/>
      <c r="AU187" s="1515"/>
      <c r="AV187" s="1515"/>
      <c r="AW187" s="1515"/>
      <c r="AX187" s="1515"/>
      <c r="AY187" s="1515"/>
      <c r="AZ187" s="1515"/>
      <c r="BA187" s="1515"/>
      <c r="BB187" s="1515"/>
      <c r="BC187" s="1515"/>
      <c r="BD187" s="1515"/>
      <c r="BE187" s="1515"/>
      <c r="BF187" s="1515"/>
      <c r="BG187" s="1515"/>
      <c r="BH187" s="1515"/>
      <c r="BI187" s="1515"/>
      <c r="BJ187" s="1515"/>
      <c r="BK187" s="1516"/>
      <c r="BL187" s="431"/>
      <c r="BM187" s="431"/>
      <c r="BN187" s="1157">
        <f>IF(INDEX('装備'!$C$59:$C$121,CX187)=0,"",CONCATENATE(INDEX('装備'!$C$59:$C$121,CX187),IF(INDEX('装備'!$K$59:$K$121,CX187)=0,"",CONCATENATE(" (",INDEX('装備'!$K$59:$K$121,CX187),"チャージ)")),IF(INDEX('装備'!$L$59:$L$121,CX187)=0,"",CONCATENATE(" (難易度",INDEX('装備'!$L$59:$L$121,CX187),")")),IF(INDEX('装備'!$D$59:$D$121,CX187)&lt;=1,"",CONCATENATE(" x",INDEX('装備'!$D$59:$D$121,CX187)))))</f>
      </c>
      <c r="BO187" s="1158"/>
      <c r="BP187" s="1158"/>
      <c r="BQ187" s="1158"/>
      <c r="BR187" s="1158"/>
      <c r="BS187" s="1158"/>
      <c r="BT187" s="1158"/>
      <c r="BU187" s="1158"/>
      <c r="BV187" s="1158"/>
      <c r="BW187" s="1158"/>
      <c r="BX187" s="1158"/>
      <c r="BY187" s="1158"/>
      <c r="BZ187" s="1158"/>
      <c r="CA187" s="1158"/>
      <c r="CB187" s="1158"/>
      <c r="CC187" s="1158"/>
      <c r="CD187" s="1158"/>
      <c r="CE187" s="1158"/>
      <c r="CF187" s="1158"/>
      <c r="CG187" s="1158"/>
      <c r="CH187" s="1158"/>
      <c r="CI187" s="1158"/>
      <c r="CJ187" s="1158"/>
      <c r="CK187" s="1158"/>
      <c r="CL187" s="1158"/>
      <c r="CM187" s="1158"/>
      <c r="CN187" s="1158"/>
      <c r="CO187" s="1158"/>
      <c r="CP187" s="1192">
        <f>IF(INDEX('装備'!$D$59:$D$121,CX187)=0,"",INDEX('装備'!$D$59:$D$121,CX187))</f>
      </c>
      <c r="CQ187" s="1192"/>
      <c r="CR187" s="1192">
        <f>IF(INDEX('装備'!$I$59:$I$121,CX187)=0,"",INDEX('装備'!$I$59:$I$121,CX187))</f>
      </c>
      <c r="CS187" s="1192"/>
      <c r="CT187" s="1192">
        <f>IF(INDEX('装備'!$J$59:$J$121,CX187)=0,"",INDEX('装備'!$J$59:$J$121,CX187))</f>
      </c>
      <c r="CU187" s="1192"/>
      <c r="CV187" s="1192">
        <f>IF(INDEX('装備'!$F$59:$F$121,CX187)=0,"",INDEX('装備'!$F$59:$F$121,CX187))</f>
      </c>
      <c r="CW187" s="1193"/>
      <c r="CX187" s="1195">
        <v>7</v>
      </c>
      <c r="CY187" s="1196"/>
    </row>
    <row r="188" spans="1:108" ht="21" customHeight="1">
      <c r="A188" s="1632">
        <v>15</v>
      </c>
      <c r="B188" s="1633"/>
      <c r="C188" s="1633"/>
      <c r="D188" s="505" t="s">
        <v>718</v>
      </c>
      <c r="E188" s="1689">
        <f>IF('能力'!AD52=0,"",'能力'!AD52)</f>
      </c>
      <c r="F188" s="1689"/>
      <c r="G188" s="1689"/>
      <c r="H188" s="1689"/>
      <c r="I188" s="1689"/>
      <c r="J188" s="1689"/>
      <c r="K188" s="1689"/>
      <c r="L188" s="1689"/>
      <c r="M188" s="1689"/>
      <c r="N188" s="1689"/>
      <c r="O188" s="1689"/>
      <c r="P188" s="1689"/>
      <c r="Q188" s="1689"/>
      <c r="R188" s="1689"/>
      <c r="S188" s="1689"/>
      <c r="T188" s="1689"/>
      <c r="U188" s="1689"/>
      <c r="V188" s="1689"/>
      <c r="W188" s="1689"/>
      <c r="X188" s="1689"/>
      <c r="Y188" s="1689"/>
      <c r="Z188" s="1689"/>
      <c r="AA188" s="1689"/>
      <c r="AB188" s="1689"/>
      <c r="AC188" s="1689"/>
      <c r="AD188" s="1689"/>
      <c r="AE188" s="1689"/>
      <c r="AF188" s="1689"/>
      <c r="AG188" s="1689"/>
      <c r="AH188" s="1690"/>
      <c r="AI188" s="503"/>
      <c r="AJ188" s="504"/>
      <c r="AK188" s="1514">
        <f>IF('能力'!AN72=0,"","［"&amp;'能力'!AN72&amp;"］  ")&amp;IF('能力'!AQ72=0,"",'能力'!AQ72)</f>
      </c>
      <c r="AL188" s="1515"/>
      <c r="AM188" s="1515"/>
      <c r="AN188" s="1515"/>
      <c r="AO188" s="1515"/>
      <c r="AP188" s="1515"/>
      <c r="AQ188" s="1515"/>
      <c r="AR188" s="1515"/>
      <c r="AS188" s="1515"/>
      <c r="AT188" s="1515"/>
      <c r="AU188" s="1515"/>
      <c r="AV188" s="1515"/>
      <c r="AW188" s="1515"/>
      <c r="AX188" s="1515"/>
      <c r="AY188" s="1515"/>
      <c r="AZ188" s="1515"/>
      <c r="BA188" s="1515"/>
      <c r="BB188" s="1515"/>
      <c r="BC188" s="1515"/>
      <c r="BD188" s="1515"/>
      <c r="BE188" s="1515"/>
      <c r="BF188" s="1515"/>
      <c r="BG188" s="1515"/>
      <c r="BH188" s="1515"/>
      <c r="BI188" s="1515"/>
      <c r="BJ188" s="1515"/>
      <c r="BK188" s="1516"/>
      <c r="BL188" s="431"/>
      <c r="BM188" s="431"/>
      <c r="BN188" s="1157">
        <f>IF(INDEX('装備'!$C$59:$C$121,CX188)=0,"",CONCATENATE(INDEX('装備'!$C$59:$C$121,CX188),IF(INDEX('装備'!$K$59:$K$121,CX188)=0,"",CONCATENATE(" (",INDEX('装備'!$K$59:$K$121,CX188),"チャージ)")),IF(INDEX('装備'!$L$59:$L$121,CX188)=0,"",CONCATENATE(" (難易度",INDEX('装備'!$L$59:$L$121,CX188),")")),IF(INDEX('装備'!$D$59:$D$121,CX188)&lt;=1,"",CONCATENATE(" x",INDEX('装備'!$D$59:$D$121,CX188)))))</f>
      </c>
      <c r="BO188" s="1158"/>
      <c r="BP188" s="1158"/>
      <c r="BQ188" s="1158"/>
      <c r="BR188" s="1158"/>
      <c r="BS188" s="1158"/>
      <c r="BT188" s="1158"/>
      <c r="BU188" s="1158"/>
      <c r="BV188" s="1158"/>
      <c r="BW188" s="1158"/>
      <c r="BX188" s="1158"/>
      <c r="BY188" s="1158"/>
      <c r="BZ188" s="1158"/>
      <c r="CA188" s="1158"/>
      <c r="CB188" s="1158"/>
      <c r="CC188" s="1158"/>
      <c r="CD188" s="1158"/>
      <c r="CE188" s="1158"/>
      <c r="CF188" s="1158"/>
      <c r="CG188" s="1158"/>
      <c r="CH188" s="1158"/>
      <c r="CI188" s="1158"/>
      <c r="CJ188" s="1158"/>
      <c r="CK188" s="1158"/>
      <c r="CL188" s="1158"/>
      <c r="CM188" s="1158"/>
      <c r="CN188" s="1158"/>
      <c r="CO188" s="1158"/>
      <c r="CP188" s="1192">
        <f>IF(INDEX('装備'!$D$59:$D$121,CX188)=0,"",INDEX('装備'!$D$59:$D$121,CX188))</f>
      </c>
      <c r="CQ188" s="1192"/>
      <c r="CR188" s="1192">
        <f>IF(INDEX('装備'!$I$59:$I$121,CX188)=0,"",INDEX('装備'!$I$59:$I$121,CX188))</f>
      </c>
      <c r="CS188" s="1192"/>
      <c r="CT188" s="1192">
        <f>IF(INDEX('装備'!$J$59:$J$121,CX188)=0,"",INDEX('装備'!$J$59:$J$121,CX188))</f>
      </c>
      <c r="CU188" s="1192"/>
      <c r="CV188" s="1192">
        <f>IF(INDEX('装備'!$F$59:$F$121,CX188)=0,"",INDEX('装備'!$F$59:$F$121,CX188))</f>
      </c>
      <c r="CW188" s="1193"/>
      <c r="CX188" s="1195">
        <v>8</v>
      </c>
      <c r="CY188" s="1196"/>
      <c r="CZ188" s="346"/>
      <c r="DA188" s="346"/>
      <c r="DB188" s="346"/>
      <c r="DC188" s="244"/>
      <c r="DD188" s="244"/>
    </row>
    <row r="189" spans="1:103" ht="21" customHeight="1">
      <c r="A189" s="1632">
        <v>17</v>
      </c>
      <c r="B189" s="1633"/>
      <c r="C189" s="1633"/>
      <c r="D189" s="505" t="s">
        <v>718</v>
      </c>
      <c r="E189" s="1689">
        <f>IF('能力'!AD54=0,"",'能力'!AD54)</f>
      </c>
      <c r="F189" s="1689"/>
      <c r="G189" s="1689"/>
      <c r="H189" s="1689"/>
      <c r="I189" s="1689"/>
      <c r="J189" s="1689"/>
      <c r="K189" s="1689"/>
      <c r="L189" s="1689"/>
      <c r="M189" s="1689"/>
      <c r="N189" s="1689"/>
      <c r="O189" s="1689"/>
      <c r="P189" s="1689"/>
      <c r="Q189" s="1689"/>
      <c r="R189" s="1689"/>
      <c r="S189" s="1689"/>
      <c r="T189" s="1689"/>
      <c r="U189" s="1689"/>
      <c r="V189" s="1689"/>
      <c r="W189" s="1689"/>
      <c r="X189" s="1689"/>
      <c r="Y189" s="1689"/>
      <c r="Z189" s="1689"/>
      <c r="AA189" s="1689"/>
      <c r="AB189" s="1689"/>
      <c r="AC189" s="1689"/>
      <c r="AD189" s="1689"/>
      <c r="AE189" s="1689"/>
      <c r="AF189" s="1689"/>
      <c r="AG189" s="1689"/>
      <c r="AH189" s="1690"/>
      <c r="AI189" s="503"/>
      <c r="AJ189" s="504"/>
      <c r="AK189" s="1514" t="str">
        <f>IF('能力'!AN73=0,"","［"&amp;'能力'!AN73&amp;"］  ")&amp;IF('能力'!AQ73=0,"",'能力'!AQ73)</f>
        <v>［Ragepower］  </v>
      </c>
      <c r="AL189" s="1515"/>
      <c r="AM189" s="1515"/>
      <c r="AN189" s="1515"/>
      <c r="AO189" s="1515"/>
      <c r="AP189" s="1515"/>
      <c r="AQ189" s="1515"/>
      <c r="AR189" s="1515"/>
      <c r="AS189" s="1515"/>
      <c r="AT189" s="1515"/>
      <c r="AU189" s="1515"/>
      <c r="AV189" s="1515"/>
      <c r="AW189" s="1515"/>
      <c r="AX189" s="1515"/>
      <c r="AY189" s="1515"/>
      <c r="AZ189" s="1515"/>
      <c r="BA189" s="1515"/>
      <c r="BB189" s="1515"/>
      <c r="BC189" s="1515"/>
      <c r="BD189" s="1515"/>
      <c r="BE189" s="1515"/>
      <c r="BF189" s="1515"/>
      <c r="BG189" s="1515"/>
      <c r="BH189" s="1515"/>
      <c r="BI189" s="1515"/>
      <c r="BJ189" s="1515"/>
      <c r="BK189" s="1516"/>
      <c r="BL189" s="431"/>
      <c r="BM189" s="431"/>
      <c r="BN189" s="1157">
        <f>IF(INDEX('装備'!$C$59:$C$121,CX189)=0,"",CONCATENATE(INDEX('装備'!$C$59:$C$121,CX189),IF(INDEX('装備'!$K$59:$K$121,CX189)=0,"",CONCATENATE(" (",INDEX('装備'!$K$59:$K$121,CX189),"チャージ)")),IF(INDEX('装備'!$L$59:$L$121,CX189)=0,"",CONCATENATE(" (難易度",INDEX('装備'!$L$59:$L$121,CX189),")")),IF(INDEX('装備'!$D$59:$D$121,CX189)&lt;=1,"",CONCATENATE(" x",INDEX('装備'!$D$59:$D$121,CX189)))))</f>
      </c>
      <c r="BO189" s="1158"/>
      <c r="BP189" s="1158"/>
      <c r="BQ189" s="1158"/>
      <c r="BR189" s="1158"/>
      <c r="BS189" s="1158"/>
      <c r="BT189" s="1158"/>
      <c r="BU189" s="1158"/>
      <c r="BV189" s="1158"/>
      <c r="BW189" s="1158"/>
      <c r="BX189" s="1158"/>
      <c r="BY189" s="1158"/>
      <c r="BZ189" s="1158"/>
      <c r="CA189" s="1158"/>
      <c r="CB189" s="1158"/>
      <c r="CC189" s="1158"/>
      <c r="CD189" s="1158"/>
      <c r="CE189" s="1158"/>
      <c r="CF189" s="1158"/>
      <c r="CG189" s="1158"/>
      <c r="CH189" s="1158"/>
      <c r="CI189" s="1158"/>
      <c r="CJ189" s="1158"/>
      <c r="CK189" s="1158"/>
      <c r="CL189" s="1158"/>
      <c r="CM189" s="1158"/>
      <c r="CN189" s="1158"/>
      <c r="CO189" s="1158"/>
      <c r="CP189" s="1192">
        <f>IF(INDEX('装備'!$D$59:$D$121,CX189)=0,"",INDEX('装備'!$D$59:$D$121,CX189))</f>
      </c>
      <c r="CQ189" s="1192"/>
      <c r="CR189" s="1192">
        <f>IF(INDEX('装備'!$I$59:$I$121,CX189)=0,"",INDEX('装備'!$I$59:$I$121,CX189))</f>
      </c>
      <c r="CS189" s="1192"/>
      <c r="CT189" s="1192">
        <f>IF(INDEX('装備'!$J$59:$J$121,CX189)=0,"",INDEX('装備'!$J$59:$J$121,CX189))</f>
      </c>
      <c r="CU189" s="1192"/>
      <c r="CV189" s="1192">
        <f>IF(INDEX('装備'!$F$59:$F$121,CX189)=0,"",INDEX('装備'!$F$59:$F$121,CX189))</f>
      </c>
      <c r="CW189" s="1193"/>
      <c r="CX189" s="1195">
        <v>9</v>
      </c>
      <c r="CY189" s="1196"/>
    </row>
    <row r="190" spans="1:103" ht="21" customHeight="1">
      <c r="A190" s="1632">
        <v>19</v>
      </c>
      <c r="B190" s="1633"/>
      <c r="C190" s="1633"/>
      <c r="D190" s="505" t="s">
        <v>718</v>
      </c>
      <c r="E190" s="1689">
        <f>IF('能力'!AD56=0,"",'能力'!AD56)</f>
      </c>
      <c r="F190" s="1689"/>
      <c r="G190" s="1689"/>
      <c r="H190" s="1689"/>
      <c r="I190" s="1689"/>
      <c r="J190" s="1689"/>
      <c r="K190" s="1689"/>
      <c r="L190" s="1689"/>
      <c r="M190" s="1689"/>
      <c r="N190" s="1689"/>
      <c r="O190" s="1689"/>
      <c r="P190" s="1689"/>
      <c r="Q190" s="1689"/>
      <c r="R190" s="1689"/>
      <c r="S190" s="1689"/>
      <c r="T190" s="1689"/>
      <c r="U190" s="1689"/>
      <c r="V190" s="1689"/>
      <c r="W190" s="1689"/>
      <c r="X190" s="1689"/>
      <c r="Y190" s="1689"/>
      <c r="Z190" s="1689"/>
      <c r="AA190" s="1689"/>
      <c r="AB190" s="1689"/>
      <c r="AC190" s="1689"/>
      <c r="AD190" s="1689"/>
      <c r="AE190" s="1689"/>
      <c r="AF190" s="1689"/>
      <c r="AG190" s="1689"/>
      <c r="AH190" s="1690"/>
      <c r="AI190" s="503"/>
      <c r="AJ190" s="504"/>
      <c r="AK190" s="1514" t="str">
        <f>IF('能力'!AN74=0,"","［"&amp;'能力'!AN74&amp;"］  ")&amp;IF('能力'!AQ74=0,"",'能力'!AQ74)</f>
        <v>［2］  Lesser Beast Totem</v>
      </c>
      <c r="AL190" s="1515"/>
      <c r="AM190" s="1515"/>
      <c r="AN190" s="1515"/>
      <c r="AO190" s="1515"/>
      <c r="AP190" s="1515"/>
      <c r="AQ190" s="1515"/>
      <c r="AR190" s="1515"/>
      <c r="AS190" s="1515"/>
      <c r="AT190" s="1515"/>
      <c r="AU190" s="1515"/>
      <c r="AV190" s="1515"/>
      <c r="AW190" s="1515"/>
      <c r="AX190" s="1515"/>
      <c r="AY190" s="1515"/>
      <c r="AZ190" s="1515"/>
      <c r="BA190" s="1515"/>
      <c r="BB190" s="1515"/>
      <c r="BC190" s="1515"/>
      <c r="BD190" s="1515"/>
      <c r="BE190" s="1515"/>
      <c r="BF190" s="1515"/>
      <c r="BG190" s="1515"/>
      <c r="BH190" s="1515"/>
      <c r="BI190" s="1515"/>
      <c r="BJ190" s="1515"/>
      <c r="BK190" s="1516"/>
      <c r="BL190" s="431"/>
      <c r="BM190" s="431"/>
      <c r="BN190" s="1157">
        <f>IF(INDEX('装備'!$C$59:$C$121,CX190)=0,"",CONCATENATE(INDEX('装備'!$C$59:$C$121,CX190),IF(INDEX('装備'!$K$59:$K$121,CX190)=0,"",CONCATENATE(" (",INDEX('装備'!$K$59:$K$121,CX190),"チャージ)")),IF(INDEX('装備'!$L$59:$L$121,CX190)=0,"",CONCATENATE(" (難易度",INDEX('装備'!$L$59:$L$121,CX190),")")),IF(INDEX('装備'!$D$59:$D$121,CX190)&lt;=1,"",CONCATENATE(" x",INDEX('装備'!$D$59:$D$121,CX190)))))</f>
      </c>
      <c r="BO190" s="1158"/>
      <c r="BP190" s="1158"/>
      <c r="BQ190" s="1158"/>
      <c r="BR190" s="1158"/>
      <c r="BS190" s="1158"/>
      <c r="BT190" s="1158"/>
      <c r="BU190" s="1158"/>
      <c r="BV190" s="1158"/>
      <c r="BW190" s="1158"/>
      <c r="BX190" s="1158"/>
      <c r="BY190" s="1158"/>
      <c r="BZ190" s="1158"/>
      <c r="CA190" s="1158"/>
      <c r="CB190" s="1158"/>
      <c r="CC190" s="1158"/>
      <c r="CD190" s="1158"/>
      <c r="CE190" s="1158"/>
      <c r="CF190" s="1158"/>
      <c r="CG190" s="1158"/>
      <c r="CH190" s="1158"/>
      <c r="CI190" s="1158"/>
      <c r="CJ190" s="1158"/>
      <c r="CK190" s="1158"/>
      <c r="CL190" s="1158"/>
      <c r="CM190" s="1158"/>
      <c r="CN190" s="1158"/>
      <c r="CO190" s="1158"/>
      <c r="CP190" s="1192">
        <f>IF(INDEX('装備'!$D$59:$D$121,CX190)=0,"",INDEX('装備'!$D$59:$D$121,CX190))</f>
      </c>
      <c r="CQ190" s="1192"/>
      <c r="CR190" s="1192">
        <f>IF(INDEX('装備'!$I$59:$I$121,CX190)=0,"",INDEX('装備'!$I$59:$I$121,CX190))</f>
      </c>
      <c r="CS190" s="1192"/>
      <c r="CT190" s="1192">
        <f>IF(INDEX('装備'!$J$59:$J$121,CX190)=0,"",INDEX('装備'!$J$59:$J$121,CX190))</f>
      </c>
      <c r="CU190" s="1192"/>
      <c r="CV190" s="1192">
        <f>IF(INDEX('装備'!$F$59:$F$121,CX190)=0,"",INDEX('装備'!$F$59:$F$121,CX190))</f>
      </c>
      <c r="CW190" s="1193"/>
      <c r="CX190" s="1195">
        <v>10</v>
      </c>
      <c r="CY190" s="1196"/>
    </row>
    <row r="191" spans="1:103" ht="21" customHeight="1">
      <c r="A191" s="1729" t="s">
        <v>719</v>
      </c>
      <c r="B191" s="1730"/>
      <c r="C191" s="1730"/>
      <c r="D191" s="1730"/>
      <c r="E191" s="1730"/>
      <c r="F191" s="1730"/>
      <c r="G191" s="1730"/>
      <c r="H191" s="1730"/>
      <c r="I191" s="1730"/>
      <c r="J191" s="1730"/>
      <c r="K191" s="1730"/>
      <c r="L191" s="1730"/>
      <c r="M191" s="1730"/>
      <c r="N191" s="1730"/>
      <c r="O191" s="1730"/>
      <c r="P191" s="1730"/>
      <c r="Q191" s="505" t="s">
        <v>61</v>
      </c>
      <c r="R191" s="1165" t="str">
        <f>IF('能力'!AJ35=0,"",'能力'!AJ35)</f>
        <v>Toughness</v>
      </c>
      <c r="S191" s="1166"/>
      <c r="T191" s="1166"/>
      <c r="U191" s="1166"/>
      <c r="V191" s="1166"/>
      <c r="W191" s="1166"/>
      <c r="X191" s="1166"/>
      <c r="Y191" s="1166"/>
      <c r="Z191" s="1166"/>
      <c r="AA191" s="1166"/>
      <c r="AB191" s="1166"/>
      <c r="AC191" s="1166"/>
      <c r="AD191" s="1166"/>
      <c r="AE191" s="1166"/>
      <c r="AF191" s="1166"/>
      <c r="AG191" s="1166"/>
      <c r="AH191" s="1167"/>
      <c r="AI191" s="503"/>
      <c r="AJ191" s="504"/>
      <c r="AK191" s="1514" t="str">
        <f>IF('能力'!AN75=0,"","［"&amp;'能力'!AN75&amp;"］  ")&amp;IF('能力'!AQ75=0,"",'能力'!AQ75)</f>
        <v>［4］  Animal fury</v>
      </c>
      <c r="AL191" s="1515"/>
      <c r="AM191" s="1515"/>
      <c r="AN191" s="1515"/>
      <c r="AO191" s="1515"/>
      <c r="AP191" s="1515"/>
      <c r="AQ191" s="1515"/>
      <c r="AR191" s="1515"/>
      <c r="AS191" s="1515"/>
      <c r="AT191" s="1515"/>
      <c r="AU191" s="1515"/>
      <c r="AV191" s="1515"/>
      <c r="AW191" s="1515"/>
      <c r="AX191" s="1515"/>
      <c r="AY191" s="1515"/>
      <c r="AZ191" s="1515"/>
      <c r="BA191" s="1515"/>
      <c r="BB191" s="1515"/>
      <c r="BC191" s="1515"/>
      <c r="BD191" s="1515"/>
      <c r="BE191" s="1515"/>
      <c r="BF191" s="1515"/>
      <c r="BG191" s="1515"/>
      <c r="BH191" s="1515"/>
      <c r="BI191" s="1515"/>
      <c r="BJ191" s="1515"/>
      <c r="BK191" s="1516"/>
      <c r="BL191" s="431"/>
      <c r="BM191" s="431"/>
      <c r="BN191" s="1157">
        <f>IF(INDEX('装備'!$C$59:$C$121,CX191)=0,"",CONCATENATE(INDEX('装備'!$C$59:$C$121,CX191),IF(INDEX('装備'!$K$59:$K$121,CX191)=0,"",CONCATENATE(" (",INDEX('装備'!$K$59:$K$121,CX191),"チャージ)")),IF(INDEX('装備'!$L$59:$L$121,CX191)=0,"",CONCATENATE(" (難易度",INDEX('装備'!$L$59:$L$121,CX191),")")),IF(INDEX('装備'!$D$59:$D$121,CX191)&lt;=1,"",CONCATENATE(" x",INDEX('装備'!$D$59:$D$121,CX191)))))</f>
      </c>
      <c r="BO191" s="1158"/>
      <c r="BP191" s="1158"/>
      <c r="BQ191" s="1158"/>
      <c r="BR191" s="1158"/>
      <c r="BS191" s="1158"/>
      <c r="BT191" s="1158"/>
      <c r="BU191" s="1158"/>
      <c r="BV191" s="1158"/>
      <c r="BW191" s="1158"/>
      <c r="BX191" s="1158"/>
      <c r="BY191" s="1158"/>
      <c r="BZ191" s="1158"/>
      <c r="CA191" s="1158"/>
      <c r="CB191" s="1158"/>
      <c r="CC191" s="1158"/>
      <c r="CD191" s="1158"/>
      <c r="CE191" s="1158"/>
      <c r="CF191" s="1158"/>
      <c r="CG191" s="1158"/>
      <c r="CH191" s="1158"/>
      <c r="CI191" s="1158"/>
      <c r="CJ191" s="1158"/>
      <c r="CK191" s="1158"/>
      <c r="CL191" s="1158"/>
      <c r="CM191" s="1158"/>
      <c r="CN191" s="1158"/>
      <c r="CO191" s="1158"/>
      <c r="CP191" s="1192">
        <f>IF(INDEX('装備'!$D$59:$D$121,CX191)=0,"",INDEX('装備'!$D$59:$D$121,CX191))</f>
      </c>
      <c r="CQ191" s="1192"/>
      <c r="CR191" s="1192">
        <f>IF(INDEX('装備'!$I$59:$I$121,CX191)=0,"",INDEX('装備'!$I$59:$I$121,CX191))</f>
      </c>
      <c r="CS191" s="1192"/>
      <c r="CT191" s="1192">
        <f>IF(INDEX('装備'!$J$59:$J$121,CX191)=0,"",INDEX('装備'!$J$59:$J$121,CX191))</f>
      </c>
      <c r="CU191" s="1192"/>
      <c r="CV191" s="1192">
        <f>IF(INDEX('装備'!$F$59:$F$121,CX191)=0,"",INDEX('装備'!$F$59:$F$121,CX191))</f>
      </c>
      <c r="CW191" s="1193"/>
      <c r="CX191" s="1195">
        <v>11</v>
      </c>
      <c r="CY191" s="1196"/>
    </row>
    <row r="192" spans="1:103" ht="21" customHeight="1">
      <c r="A192" s="1163">
        <f>IF('能力'!AJ41=0,"",'能力'!AJ41)</f>
      </c>
      <c r="B192" s="1164"/>
      <c r="C192" s="1164"/>
      <c r="D192" s="1164"/>
      <c r="E192" s="1164"/>
      <c r="F192" s="1164"/>
      <c r="G192" s="1164"/>
      <c r="H192" s="1164"/>
      <c r="I192" s="1164"/>
      <c r="J192" s="1164"/>
      <c r="K192" s="1164"/>
      <c r="L192" s="1164"/>
      <c r="M192" s="1164"/>
      <c r="N192" s="1164"/>
      <c r="O192" s="1164"/>
      <c r="P192" s="1164"/>
      <c r="Q192" s="505" t="s">
        <v>61</v>
      </c>
      <c r="R192" s="1165" t="str">
        <f>IF('能力'!AS38=0,"",'能力'!AS38)</f>
        <v>Heavy Armor Proficiency</v>
      </c>
      <c r="S192" s="1166"/>
      <c r="T192" s="1166"/>
      <c r="U192" s="1166"/>
      <c r="V192" s="1166"/>
      <c r="W192" s="1166"/>
      <c r="X192" s="1166"/>
      <c r="Y192" s="1166"/>
      <c r="Z192" s="1166"/>
      <c r="AA192" s="1166"/>
      <c r="AB192" s="1166"/>
      <c r="AC192" s="1166"/>
      <c r="AD192" s="1166"/>
      <c r="AE192" s="1166"/>
      <c r="AF192" s="1166"/>
      <c r="AG192" s="1166"/>
      <c r="AH192" s="1167"/>
      <c r="AI192" s="503"/>
      <c r="AJ192" s="504"/>
      <c r="AK192" s="1514" t="str">
        <f>IF('能力'!AN76=0,"","［"&amp;'能力'!AN76&amp;"］  ")&amp;IF('能力'!AQ76=0,"",'能力'!AQ76)</f>
        <v>［6］  Beast Totem</v>
      </c>
      <c r="AL192" s="1515"/>
      <c r="AM192" s="1515"/>
      <c r="AN192" s="1515"/>
      <c r="AO192" s="1515"/>
      <c r="AP192" s="1515"/>
      <c r="AQ192" s="1515"/>
      <c r="AR192" s="1515"/>
      <c r="AS192" s="1515"/>
      <c r="AT192" s="1515"/>
      <c r="AU192" s="1515"/>
      <c r="AV192" s="1515"/>
      <c r="AW192" s="1515"/>
      <c r="AX192" s="1515"/>
      <c r="AY192" s="1515"/>
      <c r="AZ192" s="1515"/>
      <c r="BA192" s="1515"/>
      <c r="BB192" s="1515"/>
      <c r="BC192" s="1515"/>
      <c r="BD192" s="1515"/>
      <c r="BE192" s="1515"/>
      <c r="BF192" s="1515"/>
      <c r="BG192" s="1515"/>
      <c r="BH192" s="1515"/>
      <c r="BI192" s="1515"/>
      <c r="BJ192" s="1515"/>
      <c r="BK192" s="1516"/>
      <c r="BL192" s="431"/>
      <c r="BM192" s="431"/>
      <c r="BN192" s="1157">
        <f>IF(INDEX('装備'!$C$59:$C$121,CX192)=0,"",CONCATENATE(INDEX('装備'!$C$59:$C$121,CX192),IF(INDEX('装備'!$K$59:$K$121,CX192)=0,"",CONCATENATE(" (",INDEX('装備'!$K$59:$K$121,CX192),"チャージ)")),IF(INDEX('装備'!$L$59:$L$121,CX192)=0,"",CONCATENATE(" (難易度",INDEX('装備'!$L$59:$L$121,CX192),")")),IF(INDEX('装備'!$D$59:$D$121,CX192)&lt;=1,"",CONCATENATE(" x",INDEX('装備'!$D$59:$D$121,CX192)))))</f>
      </c>
      <c r="BO192" s="1158"/>
      <c r="BP192" s="1158"/>
      <c r="BQ192" s="1158"/>
      <c r="BR192" s="1158"/>
      <c r="BS192" s="1158"/>
      <c r="BT192" s="1158"/>
      <c r="BU192" s="1158"/>
      <c r="BV192" s="1158"/>
      <c r="BW192" s="1158"/>
      <c r="BX192" s="1158"/>
      <c r="BY192" s="1158"/>
      <c r="BZ192" s="1158"/>
      <c r="CA192" s="1158"/>
      <c r="CB192" s="1158"/>
      <c r="CC192" s="1158"/>
      <c r="CD192" s="1158"/>
      <c r="CE192" s="1158"/>
      <c r="CF192" s="1158"/>
      <c r="CG192" s="1158"/>
      <c r="CH192" s="1158"/>
      <c r="CI192" s="1158"/>
      <c r="CJ192" s="1158"/>
      <c r="CK192" s="1158"/>
      <c r="CL192" s="1158"/>
      <c r="CM192" s="1158"/>
      <c r="CN192" s="1158"/>
      <c r="CO192" s="1158"/>
      <c r="CP192" s="1192">
        <f>IF(INDEX('装備'!$D$59:$D$121,CX192)=0,"",INDEX('装備'!$D$59:$D$121,CX192))</f>
      </c>
      <c r="CQ192" s="1192"/>
      <c r="CR192" s="1192">
        <f>IF(INDEX('装備'!$I$59:$I$121,CX192)=0,"",INDEX('装備'!$I$59:$I$121,CX192))</f>
      </c>
      <c r="CS192" s="1192"/>
      <c r="CT192" s="1192">
        <f>IF(INDEX('装備'!$J$59:$J$121,CX192)=0,"",INDEX('装備'!$J$59:$J$121,CX192))</f>
      </c>
      <c r="CU192" s="1192"/>
      <c r="CV192" s="1192">
        <f>IF(INDEX('装備'!$F$59:$F$121,CX192)=0,"",INDEX('装備'!$F$59:$F$121,CX192))</f>
      </c>
      <c r="CW192" s="1193"/>
      <c r="CX192" s="1195">
        <v>12</v>
      </c>
      <c r="CY192" s="1196"/>
    </row>
    <row r="193" spans="1:103" ht="21" customHeight="1">
      <c r="A193" s="1163">
        <f>IF('能力'!AJ42=0,"",'能力'!AJ42)</f>
      </c>
      <c r="B193" s="1164"/>
      <c r="C193" s="1164"/>
      <c r="D193" s="1164"/>
      <c r="E193" s="1164"/>
      <c r="F193" s="1164"/>
      <c r="G193" s="1164"/>
      <c r="H193" s="1164"/>
      <c r="I193" s="1164"/>
      <c r="J193" s="1164"/>
      <c r="K193" s="1164"/>
      <c r="L193" s="1164"/>
      <c r="M193" s="1164"/>
      <c r="N193" s="1164"/>
      <c r="O193" s="1164"/>
      <c r="P193" s="1164"/>
      <c r="Q193" s="505" t="s">
        <v>61</v>
      </c>
      <c r="R193" s="1165">
        <f>IF('能力'!AS39=0,"",'能力'!AS39)</f>
      </c>
      <c r="S193" s="1166"/>
      <c r="T193" s="1166"/>
      <c r="U193" s="1166"/>
      <c r="V193" s="1166"/>
      <c r="W193" s="1166"/>
      <c r="X193" s="1166"/>
      <c r="Y193" s="1166"/>
      <c r="Z193" s="1166"/>
      <c r="AA193" s="1166"/>
      <c r="AB193" s="1166"/>
      <c r="AC193" s="1166"/>
      <c r="AD193" s="1166"/>
      <c r="AE193" s="1166"/>
      <c r="AF193" s="1166"/>
      <c r="AG193" s="1166"/>
      <c r="AH193" s="1167"/>
      <c r="AI193" s="503"/>
      <c r="AJ193" s="504"/>
      <c r="AK193" s="1514" t="str">
        <f>IF('能力'!AN77=0,"","［"&amp;'能力'!AN77&amp;"］  ")&amp;IF('能力'!AQ77=0,"",'能力'!AQ77)</f>
        <v>［8］  Strength Surge</v>
      </c>
      <c r="AL193" s="1515"/>
      <c r="AM193" s="1515"/>
      <c r="AN193" s="1515"/>
      <c r="AO193" s="1515"/>
      <c r="AP193" s="1515"/>
      <c r="AQ193" s="1515"/>
      <c r="AR193" s="1515"/>
      <c r="AS193" s="1515"/>
      <c r="AT193" s="1515"/>
      <c r="AU193" s="1515"/>
      <c r="AV193" s="1515"/>
      <c r="AW193" s="1515"/>
      <c r="AX193" s="1515"/>
      <c r="AY193" s="1515"/>
      <c r="AZ193" s="1515"/>
      <c r="BA193" s="1515"/>
      <c r="BB193" s="1515"/>
      <c r="BC193" s="1515"/>
      <c r="BD193" s="1515"/>
      <c r="BE193" s="1515"/>
      <c r="BF193" s="1515"/>
      <c r="BG193" s="1515"/>
      <c r="BH193" s="1515"/>
      <c r="BI193" s="1515"/>
      <c r="BJ193" s="1515"/>
      <c r="BK193" s="1516"/>
      <c r="BL193" s="431"/>
      <c r="BM193" s="431"/>
      <c r="BN193" s="1157">
        <f>IF(INDEX('装備'!$C$59:$C$121,CX193)=0,"",CONCATENATE(INDEX('装備'!$C$59:$C$121,CX193),IF(INDEX('装備'!$K$59:$K$121,CX193)=0,"",CONCATENATE(" (",INDEX('装備'!$K$59:$K$121,CX193),"チャージ)")),IF(INDEX('装備'!$L$59:$L$121,CX193)=0,"",CONCATENATE(" (難易度",INDEX('装備'!$L$59:$L$121,CX193),")")),IF(INDEX('装備'!$D$59:$D$121,CX193)&lt;=1,"",CONCATENATE(" x",INDEX('装備'!$D$59:$D$121,CX193)))))</f>
      </c>
      <c r="BO193" s="1158"/>
      <c r="BP193" s="1158"/>
      <c r="BQ193" s="1158"/>
      <c r="BR193" s="1158"/>
      <c r="BS193" s="1158"/>
      <c r="BT193" s="1158"/>
      <c r="BU193" s="1158"/>
      <c r="BV193" s="1158"/>
      <c r="BW193" s="1158"/>
      <c r="BX193" s="1158"/>
      <c r="BY193" s="1158"/>
      <c r="BZ193" s="1158"/>
      <c r="CA193" s="1158"/>
      <c r="CB193" s="1158"/>
      <c r="CC193" s="1158"/>
      <c r="CD193" s="1158"/>
      <c r="CE193" s="1158"/>
      <c r="CF193" s="1158"/>
      <c r="CG193" s="1158"/>
      <c r="CH193" s="1158"/>
      <c r="CI193" s="1158"/>
      <c r="CJ193" s="1158"/>
      <c r="CK193" s="1158"/>
      <c r="CL193" s="1158"/>
      <c r="CM193" s="1158"/>
      <c r="CN193" s="1158"/>
      <c r="CO193" s="1158"/>
      <c r="CP193" s="1192">
        <f>IF(INDEX('装備'!$D$59:$D$121,CX193)=0,"",INDEX('装備'!$D$59:$D$121,CX193))</f>
      </c>
      <c r="CQ193" s="1192"/>
      <c r="CR193" s="1192">
        <f>IF(INDEX('装備'!$I$59:$I$121,CX193)=0,"",INDEX('装備'!$I$59:$I$121,CX193))</f>
      </c>
      <c r="CS193" s="1192"/>
      <c r="CT193" s="1192">
        <f>IF(INDEX('装備'!$J$59:$J$121,CX193)=0,"",INDEX('装備'!$J$59:$J$121,CX193))</f>
      </c>
      <c r="CU193" s="1192"/>
      <c r="CV193" s="1192">
        <f>IF(INDEX('装備'!$F$59:$F$121,CX193)=0,"",INDEX('装備'!$F$59:$F$121,CX193))</f>
      </c>
      <c r="CW193" s="1193"/>
      <c r="CX193" s="1195">
        <v>13</v>
      </c>
      <c r="CY193" s="1196"/>
    </row>
    <row r="194" spans="1:103" ht="21" customHeight="1">
      <c r="A194" s="1163">
        <f>IF('能力'!AJ43=0,"",'能力'!AJ43)</f>
      </c>
      <c r="B194" s="1164"/>
      <c r="C194" s="1164"/>
      <c r="D194" s="1164"/>
      <c r="E194" s="1164"/>
      <c r="F194" s="1164"/>
      <c r="G194" s="1164"/>
      <c r="H194" s="1164"/>
      <c r="I194" s="1164"/>
      <c r="J194" s="1164"/>
      <c r="K194" s="1164"/>
      <c r="L194" s="1164"/>
      <c r="M194" s="1164"/>
      <c r="N194" s="1164"/>
      <c r="O194" s="1164"/>
      <c r="P194" s="1164"/>
      <c r="Q194" s="505" t="s">
        <v>61</v>
      </c>
      <c r="R194" s="1165">
        <f>IF('能力'!AS40=0,"",'能力'!AS40)</f>
      </c>
      <c r="S194" s="1166"/>
      <c r="T194" s="1166"/>
      <c r="U194" s="1166"/>
      <c r="V194" s="1166"/>
      <c r="W194" s="1166"/>
      <c r="X194" s="1166"/>
      <c r="Y194" s="1166"/>
      <c r="Z194" s="1166"/>
      <c r="AA194" s="1166"/>
      <c r="AB194" s="1166"/>
      <c r="AC194" s="1166"/>
      <c r="AD194" s="1166"/>
      <c r="AE194" s="1166"/>
      <c r="AF194" s="1166"/>
      <c r="AG194" s="1166"/>
      <c r="AH194" s="1167"/>
      <c r="AI194" s="503"/>
      <c r="AJ194" s="504"/>
      <c r="AK194" s="1514" t="str">
        <f>IF('能力'!AN78=0,"","［"&amp;'能力'!AN78&amp;"］  ")&amp;IF('能力'!AQ78=0,"",'能力'!AQ78)</f>
        <v>［10］  Reckless Abandon</v>
      </c>
      <c r="AL194" s="1515"/>
      <c r="AM194" s="1515"/>
      <c r="AN194" s="1515"/>
      <c r="AO194" s="1515"/>
      <c r="AP194" s="1515"/>
      <c r="AQ194" s="1515"/>
      <c r="AR194" s="1515"/>
      <c r="AS194" s="1515"/>
      <c r="AT194" s="1515"/>
      <c r="AU194" s="1515"/>
      <c r="AV194" s="1515"/>
      <c r="AW194" s="1515"/>
      <c r="AX194" s="1515"/>
      <c r="AY194" s="1515"/>
      <c r="AZ194" s="1515"/>
      <c r="BA194" s="1515"/>
      <c r="BB194" s="1515"/>
      <c r="BC194" s="1515"/>
      <c r="BD194" s="1515"/>
      <c r="BE194" s="1515"/>
      <c r="BF194" s="1515"/>
      <c r="BG194" s="1515"/>
      <c r="BH194" s="1515"/>
      <c r="BI194" s="1515"/>
      <c r="BJ194" s="1515"/>
      <c r="BK194" s="1516"/>
      <c r="BL194" s="431"/>
      <c r="BM194" s="431"/>
      <c r="BN194" s="1157">
        <f>IF(INDEX('装備'!$C$59:$C$121,CX194)=0,"",CONCATENATE(INDEX('装備'!$C$59:$C$121,CX194),IF(INDEX('装備'!$K$59:$K$121,CX194)=0,"",CONCATENATE(" (",INDEX('装備'!$K$59:$K$121,CX194),"チャージ)")),IF(INDEX('装備'!$L$59:$L$121,CX194)=0,"",CONCATENATE(" (難易度",INDEX('装備'!$L$59:$L$121,CX194),")")),IF(INDEX('装備'!$D$59:$D$121,CX194)&lt;=1,"",CONCATENATE(" x",INDEX('装備'!$D$59:$D$121,CX194)))))</f>
      </c>
      <c r="BO194" s="1158"/>
      <c r="BP194" s="1158"/>
      <c r="BQ194" s="1158"/>
      <c r="BR194" s="1158"/>
      <c r="BS194" s="1158"/>
      <c r="BT194" s="1158"/>
      <c r="BU194" s="1158"/>
      <c r="BV194" s="1158"/>
      <c r="BW194" s="1158"/>
      <c r="BX194" s="1158"/>
      <c r="BY194" s="1158"/>
      <c r="BZ194" s="1158"/>
      <c r="CA194" s="1158"/>
      <c r="CB194" s="1158"/>
      <c r="CC194" s="1158"/>
      <c r="CD194" s="1158"/>
      <c r="CE194" s="1158"/>
      <c r="CF194" s="1158"/>
      <c r="CG194" s="1158"/>
      <c r="CH194" s="1158"/>
      <c r="CI194" s="1158"/>
      <c r="CJ194" s="1158"/>
      <c r="CK194" s="1158"/>
      <c r="CL194" s="1158"/>
      <c r="CM194" s="1158"/>
      <c r="CN194" s="1158"/>
      <c r="CO194" s="1158"/>
      <c r="CP194" s="1192">
        <f>IF(INDEX('装備'!$D$59:$D$121,CX194)=0,"",INDEX('装備'!$D$59:$D$121,CX194))</f>
      </c>
      <c r="CQ194" s="1192"/>
      <c r="CR194" s="1192">
        <f>IF(INDEX('装備'!$I$59:$I$121,CX194)=0,"",INDEX('装備'!$I$59:$I$121,CX194))</f>
      </c>
      <c r="CS194" s="1192"/>
      <c r="CT194" s="1192">
        <f>IF(INDEX('装備'!$J$59:$J$121,CX194)=0,"",INDEX('装備'!$J$59:$J$121,CX194))</f>
      </c>
      <c r="CU194" s="1192"/>
      <c r="CV194" s="1192">
        <f>IF(INDEX('装備'!$F$59:$F$121,CX194)=0,"",INDEX('装備'!$F$59:$F$121,CX194))</f>
      </c>
      <c r="CW194" s="1193"/>
      <c r="CX194" s="1195">
        <v>14</v>
      </c>
      <c r="CY194" s="1196"/>
    </row>
    <row r="195" spans="1:103" ht="21" customHeight="1">
      <c r="A195" s="1163">
        <f>IF('能力'!AJ44=0,"",'能力'!AJ44)</f>
      </c>
      <c r="B195" s="1164"/>
      <c r="C195" s="1164"/>
      <c r="D195" s="1164"/>
      <c r="E195" s="1164"/>
      <c r="F195" s="1164"/>
      <c r="G195" s="1164"/>
      <c r="H195" s="1164"/>
      <c r="I195" s="1164"/>
      <c r="J195" s="1164"/>
      <c r="K195" s="1164"/>
      <c r="L195" s="1164"/>
      <c r="M195" s="1164"/>
      <c r="N195" s="1164"/>
      <c r="O195" s="1164"/>
      <c r="P195" s="1164"/>
      <c r="Q195" s="505" t="s">
        <v>61</v>
      </c>
      <c r="R195" s="1165">
        <f>IF('能力'!AS41=0,"",'能力'!AS41)</f>
      </c>
      <c r="S195" s="1166"/>
      <c r="T195" s="1166"/>
      <c r="U195" s="1166"/>
      <c r="V195" s="1166"/>
      <c r="W195" s="1166"/>
      <c r="X195" s="1166"/>
      <c r="Y195" s="1166"/>
      <c r="Z195" s="1166"/>
      <c r="AA195" s="1166"/>
      <c r="AB195" s="1166"/>
      <c r="AC195" s="1166"/>
      <c r="AD195" s="1166"/>
      <c r="AE195" s="1166"/>
      <c r="AF195" s="1166"/>
      <c r="AG195" s="1166"/>
      <c r="AH195" s="1167"/>
      <c r="AI195" s="503"/>
      <c r="AJ195" s="504"/>
      <c r="AK195" s="1514">
        <f>IF('能力'!AN79=0,"","［"&amp;'能力'!AN79&amp;"］  ")&amp;IF('能力'!AQ79=0,"",'能力'!AQ79)</f>
      </c>
      <c r="AL195" s="1515"/>
      <c r="AM195" s="1515"/>
      <c r="AN195" s="1515"/>
      <c r="AO195" s="1515"/>
      <c r="AP195" s="1515"/>
      <c r="AQ195" s="1515"/>
      <c r="AR195" s="1515"/>
      <c r="AS195" s="1515"/>
      <c r="AT195" s="1515"/>
      <c r="AU195" s="1515"/>
      <c r="AV195" s="1515"/>
      <c r="AW195" s="1515"/>
      <c r="AX195" s="1515"/>
      <c r="AY195" s="1515"/>
      <c r="AZ195" s="1515"/>
      <c r="BA195" s="1515"/>
      <c r="BB195" s="1515"/>
      <c r="BC195" s="1515"/>
      <c r="BD195" s="1515"/>
      <c r="BE195" s="1515"/>
      <c r="BF195" s="1515"/>
      <c r="BG195" s="1515"/>
      <c r="BH195" s="1515"/>
      <c r="BI195" s="1515"/>
      <c r="BJ195" s="1515"/>
      <c r="BK195" s="1516"/>
      <c r="BL195" s="431"/>
      <c r="BM195" s="431"/>
      <c r="BN195" s="1157">
        <f>IF(INDEX('装備'!$C$59:$C$121,CX195)=0,"",CONCATENATE(INDEX('装備'!$C$59:$C$121,CX195),IF(INDEX('装備'!$K$59:$K$121,CX195)=0,"",CONCATENATE(" (",INDEX('装備'!$K$59:$K$121,CX195),"チャージ)")),IF(INDEX('装備'!$L$59:$L$121,CX195)=0,"",CONCATENATE(" (難易度",INDEX('装備'!$L$59:$L$121,CX195),")")),IF(INDEX('装備'!$D$59:$D$121,CX195)&lt;=1,"",CONCATENATE(" x",INDEX('装備'!$D$59:$D$121,CX195)))))</f>
      </c>
      <c r="BO195" s="1158"/>
      <c r="BP195" s="1158"/>
      <c r="BQ195" s="1158"/>
      <c r="BR195" s="1158"/>
      <c r="BS195" s="1158"/>
      <c r="BT195" s="1158"/>
      <c r="BU195" s="1158"/>
      <c r="BV195" s="1158"/>
      <c r="BW195" s="1158"/>
      <c r="BX195" s="1158"/>
      <c r="BY195" s="1158"/>
      <c r="BZ195" s="1158"/>
      <c r="CA195" s="1158"/>
      <c r="CB195" s="1158"/>
      <c r="CC195" s="1158"/>
      <c r="CD195" s="1158"/>
      <c r="CE195" s="1158"/>
      <c r="CF195" s="1158"/>
      <c r="CG195" s="1158"/>
      <c r="CH195" s="1158"/>
      <c r="CI195" s="1158"/>
      <c r="CJ195" s="1158"/>
      <c r="CK195" s="1158"/>
      <c r="CL195" s="1158"/>
      <c r="CM195" s="1158"/>
      <c r="CN195" s="1158"/>
      <c r="CO195" s="1158"/>
      <c r="CP195" s="1192">
        <f>IF(INDEX('装備'!$D$59:$D$121,CX195)=0,"",INDEX('装備'!$D$59:$D$121,CX195))</f>
      </c>
      <c r="CQ195" s="1192"/>
      <c r="CR195" s="1192">
        <f>IF(INDEX('装備'!$I$59:$I$121,CX195)=0,"",INDEX('装備'!$I$59:$I$121,CX195))</f>
      </c>
      <c r="CS195" s="1192"/>
      <c r="CT195" s="1192">
        <f>IF(INDEX('装備'!$J$59:$J$121,CX195)=0,"",INDEX('装備'!$J$59:$J$121,CX195))</f>
      </c>
      <c r="CU195" s="1192"/>
      <c r="CV195" s="1192">
        <f>IF(INDEX('装備'!$F$59:$F$121,CX195)=0,"",INDEX('装備'!$F$59:$F$121,CX195))</f>
      </c>
      <c r="CW195" s="1193"/>
      <c r="CX195" s="1195">
        <v>15</v>
      </c>
      <c r="CY195" s="1196"/>
    </row>
    <row r="196" spans="1:103" ht="21" customHeight="1">
      <c r="A196" s="1163">
        <f>IF('能力'!AJ45=0,"",'能力'!AJ45)</f>
      </c>
      <c r="B196" s="1164"/>
      <c r="C196" s="1164"/>
      <c r="D196" s="1164"/>
      <c r="E196" s="1164"/>
      <c r="F196" s="1164"/>
      <c r="G196" s="1164"/>
      <c r="H196" s="1164"/>
      <c r="I196" s="1164"/>
      <c r="J196" s="1164"/>
      <c r="K196" s="1164"/>
      <c r="L196" s="1164"/>
      <c r="M196" s="1164"/>
      <c r="N196" s="1164"/>
      <c r="O196" s="1164"/>
      <c r="P196" s="1164"/>
      <c r="Q196" s="505" t="s">
        <v>61</v>
      </c>
      <c r="R196" s="1165">
        <f>IF('能力'!AS42=0,"",'能力'!AS42)</f>
      </c>
      <c r="S196" s="1166"/>
      <c r="T196" s="1166"/>
      <c r="U196" s="1166"/>
      <c r="V196" s="1166"/>
      <c r="W196" s="1166"/>
      <c r="X196" s="1166"/>
      <c r="Y196" s="1166"/>
      <c r="Z196" s="1166"/>
      <c r="AA196" s="1166"/>
      <c r="AB196" s="1166"/>
      <c r="AC196" s="1166"/>
      <c r="AD196" s="1166"/>
      <c r="AE196" s="1166"/>
      <c r="AF196" s="1166"/>
      <c r="AG196" s="1166"/>
      <c r="AH196" s="1167"/>
      <c r="AI196" s="503"/>
      <c r="AJ196" s="504"/>
      <c r="AK196" s="1514">
        <f>IF('能力'!AW63=0,"","［"&amp;'能力'!AW63&amp;"］  ")&amp;IF('能力'!AZ63=0,"",'能力'!AZ63)</f>
      </c>
      <c r="AL196" s="1515"/>
      <c r="AM196" s="1515"/>
      <c r="AN196" s="1515"/>
      <c r="AO196" s="1515"/>
      <c r="AP196" s="1515"/>
      <c r="AQ196" s="1515"/>
      <c r="AR196" s="1515"/>
      <c r="AS196" s="1515"/>
      <c r="AT196" s="1515"/>
      <c r="AU196" s="1515"/>
      <c r="AV196" s="1515"/>
      <c r="AW196" s="1515"/>
      <c r="AX196" s="1515"/>
      <c r="AY196" s="1515"/>
      <c r="AZ196" s="1515"/>
      <c r="BA196" s="1515"/>
      <c r="BB196" s="1515"/>
      <c r="BC196" s="1515"/>
      <c r="BD196" s="1515"/>
      <c r="BE196" s="1515"/>
      <c r="BF196" s="1515"/>
      <c r="BG196" s="1515"/>
      <c r="BH196" s="1515"/>
      <c r="BI196" s="1515"/>
      <c r="BJ196" s="1515"/>
      <c r="BK196" s="1516"/>
      <c r="BL196" s="431"/>
      <c r="BM196" s="431"/>
      <c r="BN196" s="1157">
        <f>IF(INDEX('装備'!$C$59:$C$121,CX196)=0,"",CONCATENATE(INDEX('装備'!$C$59:$C$121,CX196),IF(INDEX('装備'!$K$59:$K$121,CX196)=0,"",CONCATENATE(" (",INDEX('装備'!$K$59:$K$121,CX196),"チャージ)")),IF(INDEX('装備'!$L$59:$L$121,CX196)=0,"",CONCATENATE(" (難易度",INDEX('装備'!$L$59:$L$121,CX196),")")),IF(INDEX('装備'!$D$59:$D$121,CX196)&lt;=1,"",CONCATENATE(" x",INDEX('装備'!$D$59:$D$121,CX196)))))</f>
      </c>
      <c r="BO196" s="1158"/>
      <c r="BP196" s="1158"/>
      <c r="BQ196" s="1158"/>
      <c r="BR196" s="1158"/>
      <c r="BS196" s="1158"/>
      <c r="BT196" s="1158"/>
      <c r="BU196" s="1158"/>
      <c r="BV196" s="1158"/>
      <c r="BW196" s="1158"/>
      <c r="BX196" s="1158"/>
      <c r="BY196" s="1158"/>
      <c r="BZ196" s="1158"/>
      <c r="CA196" s="1158"/>
      <c r="CB196" s="1158"/>
      <c r="CC196" s="1158"/>
      <c r="CD196" s="1158"/>
      <c r="CE196" s="1158"/>
      <c r="CF196" s="1158"/>
      <c r="CG196" s="1158"/>
      <c r="CH196" s="1158"/>
      <c r="CI196" s="1158"/>
      <c r="CJ196" s="1158"/>
      <c r="CK196" s="1158"/>
      <c r="CL196" s="1158"/>
      <c r="CM196" s="1158"/>
      <c r="CN196" s="1158"/>
      <c r="CO196" s="1158"/>
      <c r="CP196" s="1192">
        <f>IF(INDEX('装備'!$D$59:$D$121,CX196)=0,"",INDEX('装備'!$D$59:$D$121,CX196))</f>
      </c>
      <c r="CQ196" s="1192"/>
      <c r="CR196" s="1192">
        <f>IF(INDEX('装備'!$I$59:$I$121,CX196)=0,"",INDEX('装備'!$I$59:$I$121,CX196))</f>
      </c>
      <c r="CS196" s="1192"/>
      <c r="CT196" s="1192">
        <f>IF(INDEX('装備'!$J$59:$J$121,CX196)=0,"",INDEX('装備'!$J$59:$J$121,CX196))</f>
      </c>
      <c r="CU196" s="1192"/>
      <c r="CV196" s="1192">
        <f>IF(INDEX('装備'!$F$59:$F$121,CX196)=0,"",INDEX('装備'!$F$59:$F$121,CX196))</f>
      </c>
      <c r="CW196" s="1193"/>
      <c r="CX196" s="1195">
        <v>16</v>
      </c>
      <c r="CY196" s="1196"/>
    </row>
    <row r="197" spans="1:103" ht="21" customHeight="1">
      <c r="A197" s="1163">
        <f>IF('能力'!AJ46=0,"",'能力'!AJ46)</f>
      </c>
      <c r="B197" s="1164"/>
      <c r="C197" s="1164"/>
      <c r="D197" s="1164"/>
      <c r="E197" s="1164"/>
      <c r="F197" s="1164"/>
      <c r="G197" s="1164"/>
      <c r="H197" s="1164"/>
      <c r="I197" s="1164"/>
      <c r="J197" s="1164"/>
      <c r="K197" s="1164"/>
      <c r="L197" s="1164"/>
      <c r="M197" s="1164"/>
      <c r="N197" s="1164"/>
      <c r="O197" s="1164"/>
      <c r="P197" s="1164"/>
      <c r="Q197" s="505" t="s">
        <v>61</v>
      </c>
      <c r="R197" s="1165">
        <f>IF('能力'!AS43=0,"",'能力'!AS43)</f>
      </c>
      <c r="S197" s="1166"/>
      <c r="T197" s="1166"/>
      <c r="U197" s="1166"/>
      <c r="V197" s="1166"/>
      <c r="W197" s="1166"/>
      <c r="X197" s="1166"/>
      <c r="Y197" s="1166"/>
      <c r="Z197" s="1166"/>
      <c r="AA197" s="1166"/>
      <c r="AB197" s="1166"/>
      <c r="AC197" s="1166"/>
      <c r="AD197" s="1166"/>
      <c r="AE197" s="1166"/>
      <c r="AF197" s="1166"/>
      <c r="AG197" s="1166"/>
      <c r="AH197" s="1167"/>
      <c r="AI197" s="503"/>
      <c r="AJ197" s="504"/>
      <c r="AK197" s="1514">
        <f>IF('能力'!AW64=0,"","［"&amp;'能力'!AW64&amp;"］  ")&amp;IF('能力'!AZ64=0,"",'能力'!AZ64)</f>
      </c>
      <c r="AL197" s="1515"/>
      <c r="AM197" s="1515"/>
      <c r="AN197" s="1515"/>
      <c r="AO197" s="1515"/>
      <c r="AP197" s="1515"/>
      <c r="AQ197" s="1515"/>
      <c r="AR197" s="1515"/>
      <c r="AS197" s="1515"/>
      <c r="AT197" s="1515"/>
      <c r="AU197" s="1515"/>
      <c r="AV197" s="1515"/>
      <c r="AW197" s="1515"/>
      <c r="AX197" s="1515"/>
      <c r="AY197" s="1515"/>
      <c r="AZ197" s="1515"/>
      <c r="BA197" s="1515"/>
      <c r="BB197" s="1515"/>
      <c r="BC197" s="1515"/>
      <c r="BD197" s="1515"/>
      <c r="BE197" s="1515"/>
      <c r="BF197" s="1515"/>
      <c r="BG197" s="1515"/>
      <c r="BH197" s="1515"/>
      <c r="BI197" s="1515"/>
      <c r="BJ197" s="1515"/>
      <c r="BK197" s="1516"/>
      <c r="BL197" s="431"/>
      <c r="BM197" s="431"/>
      <c r="BN197" s="1157">
        <f>IF(INDEX('装備'!$C$59:$C$121,CX197)=0,"",CONCATENATE(INDEX('装備'!$C$59:$C$121,CX197),IF(INDEX('装備'!$K$59:$K$121,CX197)=0,"",CONCATENATE(" (",INDEX('装備'!$K$59:$K$121,CX197),"チャージ)")),IF(INDEX('装備'!$L$59:$L$121,CX197)=0,"",CONCATENATE(" (難易度",INDEX('装備'!$L$59:$L$121,CX197),")")),IF(INDEX('装備'!$D$59:$D$121,CX197)&lt;=1,"",CONCATENATE(" x",INDEX('装備'!$D$59:$D$121,CX197)))))</f>
      </c>
      <c r="BO197" s="1158"/>
      <c r="BP197" s="1158"/>
      <c r="BQ197" s="1158"/>
      <c r="BR197" s="1158"/>
      <c r="BS197" s="1158"/>
      <c r="BT197" s="1158"/>
      <c r="BU197" s="1158"/>
      <c r="BV197" s="1158"/>
      <c r="BW197" s="1158"/>
      <c r="BX197" s="1158"/>
      <c r="BY197" s="1158"/>
      <c r="BZ197" s="1158"/>
      <c r="CA197" s="1158"/>
      <c r="CB197" s="1158"/>
      <c r="CC197" s="1158"/>
      <c r="CD197" s="1158"/>
      <c r="CE197" s="1158"/>
      <c r="CF197" s="1158"/>
      <c r="CG197" s="1158"/>
      <c r="CH197" s="1158"/>
      <c r="CI197" s="1158"/>
      <c r="CJ197" s="1158"/>
      <c r="CK197" s="1158"/>
      <c r="CL197" s="1158"/>
      <c r="CM197" s="1158"/>
      <c r="CN197" s="1158"/>
      <c r="CO197" s="1158"/>
      <c r="CP197" s="1192">
        <f>IF(INDEX('装備'!$D$59:$D$121,CX197)=0,"",INDEX('装備'!$D$59:$D$121,CX197))</f>
      </c>
      <c r="CQ197" s="1192"/>
      <c r="CR197" s="1192">
        <f>IF(INDEX('装備'!$I$59:$I$121,CX197)=0,"",INDEX('装備'!$I$59:$I$121,CX197))</f>
      </c>
      <c r="CS197" s="1192"/>
      <c r="CT197" s="1192">
        <f>IF(INDEX('装備'!$J$59:$J$121,CX197)=0,"",INDEX('装備'!$J$59:$J$121,CX197))</f>
      </c>
      <c r="CU197" s="1192"/>
      <c r="CV197" s="1192">
        <f>IF(INDEX('装備'!$F$59:$F$121,CX197)=0,"",INDEX('装備'!$F$59:$F$121,CX197))</f>
      </c>
      <c r="CW197" s="1193"/>
      <c r="CX197" s="1195">
        <v>17</v>
      </c>
      <c r="CY197" s="1196"/>
    </row>
    <row r="198" spans="1:103" ht="21" customHeight="1">
      <c r="A198" s="1163">
        <f>IF('能力'!AJ47=0,"",'能力'!AJ47)</f>
      </c>
      <c r="B198" s="1164"/>
      <c r="C198" s="1164"/>
      <c r="D198" s="1164"/>
      <c r="E198" s="1164"/>
      <c r="F198" s="1164"/>
      <c r="G198" s="1164"/>
      <c r="H198" s="1164"/>
      <c r="I198" s="1164"/>
      <c r="J198" s="1164"/>
      <c r="K198" s="1164"/>
      <c r="L198" s="1164"/>
      <c r="M198" s="1164"/>
      <c r="N198" s="1164"/>
      <c r="O198" s="1164"/>
      <c r="P198" s="1164"/>
      <c r="Q198" s="505" t="s">
        <v>61</v>
      </c>
      <c r="R198" s="1165">
        <f>IF('能力'!AS44=0,"",'能力'!AS44)</f>
      </c>
      <c r="S198" s="1166"/>
      <c r="T198" s="1166"/>
      <c r="U198" s="1166"/>
      <c r="V198" s="1166"/>
      <c r="W198" s="1166"/>
      <c r="X198" s="1166"/>
      <c r="Y198" s="1166"/>
      <c r="Z198" s="1166"/>
      <c r="AA198" s="1166"/>
      <c r="AB198" s="1166"/>
      <c r="AC198" s="1166"/>
      <c r="AD198" s="1166"/>
      <c r="AE198" s="1166"/>
      <c r="AF198" s="1166"/>
      <c r="AG198" s="1166"/>
      <c r="AH198" s="1167"/>
      <c r="AI198" s="523"/>
      <c r="AJ198" s="504"/>
      <c r="AK198" s="1514">
        <f>IF('能力'!AW65=0,"","［"&amp;'能力'!AW65&amp;"］  ")&amp;IF('能力'!AZ65=0,"",'能力'!AZ65)</f>
      </c>
      <c r="AL198" s="1515"/>
      <c r="AM198" s="1515"/>
      <c r="AN198" s="1515"/>
      <c r="AO198" s="1515"/>
      <c r="AP198" s="1515"/>
      <c r="AQ198" s="1515"/>
      <c r="AR198" s="1515"/>
      <c r="AS198" s="1515"/>
      <c r="AT198" s="1515"/>
      <c r="AU198" s="1515"/>
      <c r="AV198" s="1515"/>
      <c r="AW198" s="1515"/>
      <c r="AX198" s="1515"/>
      <c r="AY198" s="1515"/>
      <c r="AZ198" s="1515"/>
      <c r="BA198" s="1515"/>
      <c r="BB198" s="1515"/>
      <c r="BC198" s="1515"/>
      <c r="BD198" s="1515"/>
      <c r="BE198" s="1515"/>
      <c r="BF198" s="1515"/>
      <c r="BG198" s="1515"/>
      <c r="BH198" s="1515"/>
      <c r="BI198" s="1515"/>
      <c r="BJ198" s="1515"/>
      <c r="BK198" s="1516"/>
      <c r="BL198" s="431"/>
      <c r="BM198" s="431"/>
      <c r="BN198" s="1157">
        <f>IF(INDEX('装備'!$C$59:$C$121,CX198)=0,"",CONCATENATE(INDEX('装備'!$C$59:$C$121,CX198),IF(INDEX('装備'!$K$59:$K$121,CX198)=0,"",CONCATENATE(" (",INDEX('装備'!$K$59:$K$121,CX198),"チャージ)")),IF(INDEX('装備'!$L$59:$L$121,CX198)=0,"",CONCATENATE(" (難易度",INDEX('装備'!$L$59:$L$121,CX198),")")),IF(INDEX('装備'!$D$59:$D$121,CX198)&lt;=1,"",CONCATENATE(" x",INDEX('装備'!$D$59:$D$121,CX198)))))</f>
      </c>
      <c r="BO198" s="1158"/>
      <c r="BP198" s="1158"/>
      <c r="BQ198" s="1158"/>
      <c r="BR198" s="1158"/>
      <c r="BS198" s="1158"/>
      <c r="BT198" s="1158"/>
      <c r="BU198" s="1158"/>
      <c r="BV198" s="1158"/>
      <c r="BW198" s="1158"/>
      <c r="BX198" s="1158"/>
      <c r="BY198" s="1158"/>
      <c r="BZ198" s="1158"/>
      <c r="CA198" s="1158"/>
      <c r="CB198" s="1158"/>
      <c r="CC198" s="1158"/>
      <c r="CD198" s="1158"/>
      <c r="CE198" s="1158"/>
      <c r="CF198" s="1158"/>
      <c r="CG198" s="1158"/>
      <c r="CH198" s="1158"/>
      <c r="CI198" s="1158"/>
      <c r="CJ198" s="1158"/>
      <c r="CK198" s="1158"/>
      <c r="CL198" s="1158"/>
      <c r="CM198" s="1158"/>
      <c r="CN198" s="1158"/>
      <c r="CO198" s="1158"/>
      <c r="CP198" s="1192">
        <f>IF(INDEX('装備'!$D$59:$D$121,CX198)=0,"",INDEX('装備'!$D$59:$D$121,CX198))</f>
      </c>
      <c r="CQ198" s="1192"/>
      <c r="CR198" s="1192">
        <f>IF(INDEX('装備'!$I$59:$I$121,CX198)=0,"",INDEX('装備'!$I$59:$I$121,CX198))</f>
      </c>
      <c r="CS198" s="1192"/>
      <c r="CT198" s="1192">
        <f>IF(INDEX('装備'!$J$59:$J$121,CX198)=0,"",INDEX('装備'!$J$59:$J$121,CX198))</f>
      </c>
      <c r="CU198" s="1192"/>
      <c r="CV198" s="1192">
        <f>IF(INDEX('装備'!$F$59:$F$121,CX198)=0,"",INDEX('装備'!$F$59:$F$121,CX198))</f>
      </c>
      <c r="CW198" s="1193"/>
      <c r="CX198" s="1195">
        <v>18</v>
      </c>
      <c r="CY198" s="1196"/>
    </row>
    <row r="199" spans="1:103" ht="21" customHeight="1">
      <c r="A199" s="1163">
        <f>IF('能力'!AJ48=0,"",'能力'!AJ48)</f>
      </c>
      <c r="B199" s="1164"/>
      <c r="C199" s="1164"/>
      <c r="D199" s="1164"/>
      <c r="E199" s="1164"/>
      <c r="F199" s="1164"/>
      <c r="G199" s="1164"/>
      <c r="H199" s="1164"/>
      <c r="I199" s="1164"/>
      <c r="J199" s="1164"/>
      <c r="K199" s="1164"/>
      <c r="L199" s="1164"/>
      <c r="M199" s="1164"/>
      <c r="N199" s="1164"/>
      <c r="O199" s="1164"/>
      <c r="P199" s="1164"/>
      <c r="Q199" s="505" t="s">
        <v>61</v>
      </c>
      <c r="R199" s="1165">
        <f>IF('能力'!AS45=0,"",'能力'!AS45)</f>
      </c>
      <c r="S199" s="1166"/>
      <c r="T199" s="1166"/>
      <c r="U199" s="1166"/>
      <c r="V199" s="1166"/>
      <c r="W199" s="1166"/>
      <c r="X199" s="1166"/>
      <c r="Y199" s="1166"/>
      <c r="Z199" s="1166"/>
      <c r="AA199" s="1166"/>
      <c r="AB199" s="1166"/>
      <c r="AC199" s="1166"/>
      <c r="AD199" s="1166"/>
      <c r="AE199" s="1166"/>
      <c r="AF199" s="1166"/>
      <c r="AG199" s="1166"/>
      <c r="AH199" s="1167"/>
      <c r="AI199" s="503"/>
      <c r="AJ199" s="504"/>
      <c r="AK199" s="1514">
        <f>IF('能力'!AW66=0,"","［"&amp;'能力'!AW66&amp;"］  ")&amp;IF('能力'!AZ66=0,"",'能力'!AZ66)</f>
      </c>
      <c r="AL199" s="1515"/>
      <c r="AM199" s="1515"/>
      <c r="AN199" s="1515"/>
      <c r="AO199" s="1515"/>
      <c r="AP199" s="1515"/>
      <c r="AQ199" s="1515"/>
      <c r="AR199" s="1515"/>
      <c r="AS199" s="1515"/>
      <c r="AT199" s="1515"/>
      <c r="AU199" s="1515"/>
      <c r="AV199" s="1515"/>
      <c r="AW199" s="1515"/>
      <c r="AX199" s="1515"/>
      <c r="AY199" s="1515"/>
      <c r="AZ199" s="1515"/>
      <c r="BA199" s="1515"/>
      <c r="BB199" s="1515"/>
      <c r="BC199" s="1515"/>
      <c r="BD199" s="1515"/>
      <c r="BE199" s="1515"/>
      <c r="BF199" s="1515"/>
      <c r="BG199" s="1515"/>
      <c r="BH199" s="1515"/>
      <c r="BI199" s="1515"/>
      <c r="BJ199" s="1515"/>
      <c r="BK199" s="1516"/>
      <c r="BL199" s="431"/>
      <c r="BM199" s="431"/>
      <c r="BN199" s="1157">
        <f>IF(INDEX('装備'!$C$59:$C$121,CX199)=0,"",CONCATENATE(INDEX('装備'!$C$59:$C$121,CX199),IF(INDEX('装備'!$K$59:$K$121,CX199)=0,"",CONCATENATE(" (",INDEX('装備'!$K$59:$K$121,CX199),"チャージ)")),IF(INDEX('装備'!$L$59:$L$121,CX199)=0,"",CONCATENATE(" (難易度",INDEX('装備'!$L$59:$L$121,CX199),")")),IF(INDEX('装備'!$D$59:$D$121,CX199)&lt;=1,"",CONCATENATE(" x",INDEX('装備'!$D$59:$D$121,CX199)))))</f>
      </c>
      <c r="BO199" s="1158"/>
      <c r="BP199" s="1158"/>
      <c r="BQ199" s="1158"/>
      <c r="BR199" s="1158"/>
      <c r="BS199" s="1158"/>
      <c r="BT199" s="1158"/>
      <c r="BU199" s="1158"/>
      <c r="BV199" s="1158"/>
      <c r="BW199" s="1158"/>
      <c r="BX199" s="1158"/>
      <c r="BY199" s="1158"/>
      <c r="BZ199" s="1158"/>
      <c r="CA199" s="1158"/>
      <c r="CB199" s="1158"/>
      <c r="CC199" s="1158"/>
      <c r="CD199" s="1158"/>
      <c r="CE199" s="1158"/>
      <c r="CF199" s="1158"/>
      <c r="CG199" s="1158"/>
      <c r="CH199" s="1158"/>
      <c r="CI199" s="1158"/>
      <c r="CJ199" s="1158"/>
      <c r="CK199" s="1158"/>
      <c r="CL199" s="1158"/>
      <c r="CM199" s="1158"/>
      <c r="CN199" s="1158"/>
      <c r="CO199" s="1158"/>
      <c r="CP199" s="1192">
        <f>IF(INDEX('装備'!$D$59:$D$121,CX199)=0,"",INDEX('装備'!$D$59:$D$121,CX199))</f>
      </c>
      <c r="CQ199" s="1192"/>
      <c r="CR199" s="1192">
        <f>IF(INDEX('装備'!$I$59:$I$121,CX199)=0,"",INDEX('装備'!$I$59:$I$121,CX199))</f>
      </c>
      <c r="CS199" s="1192"/>
      <c r="CT199" s="1192">
        <f>IF(INDEX('装備'!$J$59:$J$121,CX199)=0,"",INDEX('装備'!$J$59:$J$121,CX199))</f>
      </c>
      <c r="CU199" s="1192"/>
      <c r="CV199" s="1192">
        <f>IF(INDEX('装備'!$F$59:$F$121,CX199)=0,"",INDEX('装備'!$F$59:$F$121,CX199))</f>
      </c>
      <c r="CW199" s="1193"/>
      <c r="CX199" s="1195">
        <v>19</v>
      </c>
      <c r="CY199" s="1196"/>
    </row>
    <row r="200" spans="1:103" ht="21" customHeight="1">
      <c r="A200" s="1163">
        <f>IF('能力'!AJ49=0,"",'能力'!AJ49)</f>
      </c>
      <c r="B200" s="1164"/>
      <c r="C200" s="1164"/>
      <c r="D200" s="1164"/>
      <c r="E200" s="1164"/>
      <c r="F200" s="1164"/>
      <c r="G200" s="1164"/>
      <c r="H200" s="1164"/>
      <c r="I200" s="1164"/>
      <c r="J200" s="1164"/>
      <c r="K200" s="1164"/>
      <c r="L200" s="1164"/>
      <c r="M200" s="1164"/>
      <c r="N200" s="1164"/>
      <c r="O200" s="1164"/>
      <c r="P200" s="1164"/>
      <c r="Q200" s="505" t="s">
        <v>61</v>
      </c>
      <c r="R200" s="1165">
        <f>IF('能力'!AS46=0,"",'能力'!AS46)</f>
      </c>
      <c r="S200" s="1166"/>
      <c r="T200" s="1166"/>
      <c r="U200" s="1166"/>
      <c r="V200" s="1166"/>
      <c r="W200" s="1166"/>
      <c r="X200" s="1166"/>
      <c r="Y200" s="1166"/>
      <c r="Z200" s="1166"/>
      <c r="AA200" s="1166"/>
      <c r="AB200" s="1166"/>
      <c r="AC200" s="1166"/>
      <c r="AD200" s="1166"/>
      <c r="AE200" s="1166"/>
      <c r="AF200" s="1166"/>
      <c r="AG200" s="1166"/>
      <c r="AH200" s="1167"/>
      <c r="AI200" s="503"/>
      <c r="AJ200" s="504"/>
      <c r="AK200" s="1514">
        <f>IF('能力'!AW67=0,"","［"&amp;'能力'!AW67&amp;"］  ")&amp;IF('能力'!AZ67=0,"",'能力'!AZ67)</f>
      </c>
      <c r="AL200" s="1515"/>
      <c r="AM200" s="1515"/>
      <c r="AN200" s="1515"/>
      <c r="AO200" s="1515"/>
      <c r="AP200" s="1515"/>
      <c r="AQ200" s="1515"/>
      <c r="AR200" s="1515"/>
      <c r="AS200" s="1515"/>
      <c r="AT200" s="1515"/>
      <c r="AU200" s="1515"/>
      <c r="AV200" s="1515"/>
      <c r="AW200" s="1515"/>
      <c r="AX200" s="1515"/>
      <c r="AY200" s="1515"/>
      <c r="AZ200" s="1515"/>
      <c r="BA200" s="1515"/>
      <c r="BB200" s="1515"/>
      <c r="BC200" s="1515"/>
      <c r="BD200" s="1515"/>
      <c r="BE200" s="1515"/>
      <c r="BF200" s="1515"/>
      <c r="BG200" s="1515"/>
      <c r="BH200" s="1515"/>
      <c r="BI200" s="1515"/>
      <c r="BJ200" s="1515"/>
      <c r="BK200" s="1516"/>
      <c r="BL200" s="431"/>
      <c r="BM200" s="431"/>
      <c r="BN200" s="1157">
        <f>IF(INDEX('装備'!$C$59:$C$121,CX200)=0,"",CONCATENATE(INDEX('装備'!$C$59:$C$121,CX200),IF(INDEX('装備'!$K$59:$K$121,CX200)=0,"",CONCATENATE(" (",INDEX('装備'!$K$59:$K$121,CX200),"チャージ)")),IF(INDEX('装備'!$L$59:$L$121,CX200)=0,"",CONCATENATE(" (難易度",INDEX('装備'!$L$59:$L$121,CX200),")")),IF(INDEX('装備'!$D$59:$D$121,CX200)&lt;=1,"",CONCATENATE(" x",INDEX('装備'!$D$59:$D$121,CX200)))))</f>
      </c>
      <c r="BO200" s="1158"/>
      <c r="BP200" s="1158"/>
      <c r="BQ200" s="1158"/>
      <c r="BR200" s="1158"/>
      <c r="BS200" s="1158"/>
      <c r="BT200" s="1158"/>
      <c r="BU200" s="1158"/>
      <c r="BV200" s="1158"/>
      <c r="BW200" s="1158"/>
      <c r="BX200" s="1158"/>
      <c r="BY200" s="1158"/>
      <c r="BZ200" s="1158"/>
      <c r="CA200" s="1158"/>
      <c r="CB200" s="1158"/>
      <c r="CC200" s="1158"/>
      <c r="CD200" s="1158"/>
      <c r="CE200" s="1158"/>
      <c r="CF200" s="1158"/>
      <c r="CG200" s="1158"/>
      <c r="CH200" s="1158"/>
      <c r="CI200" s="1158"/>
      <c r="CJ200" s="1158"/>
      <c r="CK200" s="1158"/>
      <c r="CL200" s="1158"/>
      <c r="CM200" s="1158"/>
      <c r="CN200" s="1158"/>
      <c r="CO200" s="1158"/>
      <c r="CP200" s="1192">
        <f>IF(INDEX('装備'!$D$59:$D$121,CX200)=0,"",INDEX('装備'!$D$59:$D$121,CX200))</f>
      </c>
      <c r="CQ200" s="1192"/>
      <c r="CR200" s="1192">
        <f>IF(INDEX('装備'!$I$59:$I$121,CX200)=0,"",INDEX('装備'!$I$59:$I$121,CX200))</f>
      </c>
      <c r="CS200" s="1192"/>
      <c r="CT200" s="1192">
        <f>IF(INDEX('装備'!$J$59:$J$121,CX200)=0,"",INDEX('装備'!$J$59:$J$121,CX200))</f>
      </c>
      <c r="CU200" s="1192"/>
      <c r="CV200" s="1192">
        <f>IF(INDEX('装備'!$F$59:$F$121,CX200)=0,"",INDEX('装備'!$F$59:$F$121,CX200))</f>
      </c>
      <c r="CW200" s="1193"/>
      <c r="CX200" s="1195">
        <v>20</v>
      </c>
      <c r="CY200" s="1196"/>
    </row>
    <row r="201" spans="1:103" ht="21" customHeight="1">
      <c r="A201" s="1163">
        <f>IF('能力'!AJ50=0,"",'能力'!AJ50)</f>
      </c>
      <c r="B201" s="1164"/>
      <c r="C201" s="1164"/>
      <c r="D201" s="1164"/>
      <c r="E201" s="1164"/>
      <c r="F201" s="1164"/>
      <c r="G201" s="1164"/>
      <c r="H201" s="1164"/>
      <c r="I201" s="1164"/>
      <c r="J201" s="1164"/>
      <c r="K201" s="1164"/>
      <c r="L201" s="1164"/>
      <c r="M201" s="1164"/>
      <c r="N201" s="1164"/>
      <c r="O201" s="1164"/>
      <c r="P201" s="1164"/>
      <c r="Q201" s="505" t="s">
        <v>61</v>
      </c>
      <c r="R201" s="1165">
        <f>IF('能力'!AS47=0,"",'能力'!AS47)</f>
      </c>
      <c r="S201" s="1166"/>
      <c r="T201" s="1166"/>
      <c r="U201" s="1166"/>
      <c r="V201" s="1166"/>
      <c r="W201" s="1166"/>
      <c r="X201" s="1166"/>
      <c r="Y201" s="1166"/>
      <c r="Z201" s="1166"/>
      <c r="AA201" s="1166"/>
      <c r="AB201" s="1166"/>
      <c r="AC201" s="1166"/>
      <c r="AD201" s="1166"/>
      <c r="AE201" s="1166"/>
      <c r="AF201" s="1166"/>
      <c r="AG201" s="1166"/>
      <c r="AH201" s="1167"/>
      <c r="AI201" s="441"/>
      <c r="AJ201" s="441"/>
      <c r="AK201" s="1514">
        <f>IF('能力'!AW68=0,"","［"&amp;'能力'!AW68&amp;"］  ")&amp;IF('能力'!AZ68=0,"",'能力'!AZ68)</f>
      </c>
      <c r="AL201" s="1515"/>
      <c r="AM201" s="1515"/>
      <c r="AN201" s="1515"/>
      <c r="AO201" s="1515"/>
      <c r="AP201" s="1515"/>
      <c r="AQ201" s="1515"/>
      <c r="AR201" s="1515"/>
      <c r="AS201" s="1515"/>
      <c r="AT201" s="1515"/>
      <c r="AU201" s="1515"/>
      <c r="AV201" s="1515"/>
      <c r="AW201" s="1515"/>
      <c r="AX201" s="1515"/>
      <c r="AY201" s="1515"/>
      <c r="AZ201" s="1515"/>
      <c r="BA201" s="1515"/>
      <c r="BB201" s="1515"/>
      <c r="BC201" s="1515"/>
      <c r="BD201" s="1515"/>
      <c r="BE201" s="1515"/>
      <c r="BF201" s="1515"/>
      <c r="BG201" s="1515"/>
      <c r="BH201" s="1515"/>
      <c r="BI201" s="1515"/>
      <c r="BJ201" s="1515"/>
      <c r="BK201" s="1516"/>
      <c r="BL201" s="431"/>
      <c r="BM201" s="431"/>
      <c r="BN201" s="1157">
        <f>IF(INDEX('装備'!$C$59:$C$121,CX201)=0,"",CONCATENATE(INDEX('装備'!$C$59:$C$121,CX201),IF(INDEX('装備'!$K$59:$K$121,CX201)=0,"",CONCATENATE(" (",INDEX('装備'!$K$59:$K$121,CX201),"チャージ)")),IF(INDEX('装備'!$L$59:$L$121,CX201)=0,"",CONCATENATE(" (難易度",INDEX('装備'!$L$59:$L$121,CX201),")")),IF(INDEX('装備'!$D$59:$D$121,CX201)&lt;=1,"",CONCATENATE(" x",INDEX('装備'!$D$59:$D$121,CX201)))))</f>
      </c>
      <c r="BO201" s="1158"/>
      <c r="BP201" s="1158"/>
      <c r="BQ201" s="1158"/>
      <c r="BR201" s="1158"/>
      <c r="BS201" s="1158"/>
      <c r="BT201" s="1158"/>
      <c r="BU201" s="1158"/>
      <c r="BV201" s="1158"/>
      <c r="BW201" s="1158"/>
      <c r="BX201" s="1158"/>
      <c r="BY201" s="1158"/>
      <c r="BZ201" s="1158"/>
      <c r="CA201" s="1158"/>
      <c r="CB201" s="1158"/>
      <c r="CC201" s="1158"/>
      <c r="CD201" s="1158"/>
      <c r="CE201" s="1158"/>
      <c r="CF201" s="1158"/>
      <c r="CG201" s="1158"/>
      <c r="CH201" s="1158"/>
      <c r="CI201" s="1158"/>
      <c r="CJ201" s="1158"/>
      <c r="CK201" s="1158"/>
      <c r="CL201" s="1158"/>
      <c r="CM201" s="1158"/>
      <c r="CN201" s="1158"/>
      <c r="CO201" s="1158"/>
      <c r="CP201" s="1192">
        <f>IF(INDEX('装備'!$D$59:$D$121,CX201)=0,"",INDEX('装備'!$D$59:$D$121,CX201))</f>
      </c>
      <c r="CQ201" s="1192"/>
      <c r="CR201" s="1192">
        <f>IF(INDEX('装備'!$I$59:$I$121,CX201)=0,"",INDEX('装備'!$I$59:$I$121,CX201))</f>
      </c>
      <c r="CS201" s="1192"/>
      <c r="CT201" s="1192">
        <f>IF(INDEX('装備'!$J$59:$J$121,CX201)=0,"",INDEX('装備'!$J$59:$J$121,CX201))</f>
      </c>
      <c r="CU201" s="1192"/>
      <c r="CV201" s="1192">
        <f>IF(INDEX('装備'!$F$59:$F$121,CX201)=0,"",INDEX('装備'!$F$59:$F$121,CX201))</f>
      </c>
      <c r="CW201" s="1193"/>
      <c r="CX201" s="1195">
        <v>21</v>
      </c>
      <c r="CY201" s="1196"/>
    </row>
    <row r="202" spans="1:103" ht="21" customHeight="1">
      <c r="A202" s="1163">
        <f>IF('能力'!AJ51=0,"",'能力'!AJ51)</f>
      </c>
      <c r="B202" s="1164"/>
      <c r="C202" s="1164"/>
      <c r="D202" s="1164"/>
      <c r="E202" s="1164"/>
      <c r="F202" s="1164"/>
      <c r="G202" s="1164"/>
      <c r="H202" s="1164"/>
      <c r="I202" s="1164"/>
      <c r="J202" s="1164"/>
      <c r="K202" s="1164"/>
      <c r="L202" s="1164"/>
      <c r="M202" s="1164"/>
      <c r="N202" s="1164"/>
      <c r="O202" s="1164"/>
      <c r="P202" s="1164"/>
      <c r="Q202" s="505" t="s">
        <v>61</v>
      </c>
      <c r="R202" s="1165">
        <f>IF('能力'!AS48=0,"",'能力'!AS48)</f>
      </c>
      <c r="S202" s="1166"/>
      <c r="T202" s="1166"/>
      <c r="U202" s="1166"/>
      <c r="V202" s="1166"/>
      <c r="W202" s="1166"/>
      <c r="X202" s="1166"/>
      <c r="Y202" s="1166"/>
      <c r="Z202" s="1166"/>
      <c r="AA202" s="1166"/>
      <c r="AB202" s="1166"/>
      <c r="AC202" s="1166"/>
      <c r="AD202" s="1166"/>
      <c r="AE202" s="1166"/>
      <c r="AF202" s="1166"/>
      <c r="AG202" s="1166"/>
      <c r="AH202" s="1167"/>
      <c r="AI202" s="503"/>
      <c r="AJ202" s="504"/>
      <c r="AK202" s="1514">
        <f>IF('能力'!AW69=0,"","［"&amp;'能力'!AW69&amp;"］  ")&amp;IF('能力'!AZ69=0,"",'能力'!AZ69)</f>
      </c>
      <c r="AL202" s="1515"/>
      <c r="AM202" s="1515"/>
      <c r="AN202" s="1515"/>
      <c r="AO202" s="1515"/>
      <c r="AP202" s="1515"/>
      <c r="AQ202" s="1515"/>
      <c r="AR202" s="1515"/>
      <c r="AS202" s="1515"/>
      <c r="AT202" s="1515"/>
      <c r="AU202" s="1515"/>
      <c r="AV202" s="1515"/>
      <c r="AW202" s="1515"/>
      <c r="AX202" s="1515"/>
      <c r="AY202" s="1515"/>
      <c r="AZ202" s="1515"/>
      <c r="BA202" s="1515"/>
      <c r="BB202" s="1515"/>
      <c r="BC202" s="1515"/>
      <c r="BD202" s="1515"/>
      <c r="BE202" s="1515"/>
      <c r="BF202" s="1515"/>
      <c r="BG202" s="1515"/>
      <c r="BH202" s="1515"/>
      <c r="BI202" s="1515"/>
      <c r="BJ202" s="1515"/>
      <c r="BK202" s="1516"/>
      <c r="BL202" s="431"/>
      <c r="BM202" s="431"/>
      <c r="BN202" s="1157">
        <f>IF(INDEX('装備'!$C$59:$C$121,CX202)=0,"",CONCATENATE(INDEX('装備'!$C$59:$C$121,CX202),IF(INDEX('装備'!$K$59:$K$121,CX202)=0,"",CONCATENATE(" (",INDEX('装備'!$K$59:$K$121,CX202),"チャージ)")),IF(INDEX('装備'!$L$59:$L$121,CX202)=0,"",CONCATENATE(" (難易度",INDEX('装備'!$L$59:$L$121,CX202),")")),IF(INDEX('装備'!$D$59:$D$121,CX202)&lt;=1,"",CONCATENATE(" x",INDEX('装備'!$D$59:$D$121,CX202)))))</f>
      </c>
      <c r="BO202" s="1158"/>
      <c r="BP202" s="1158"/>
      <c r="BQ202" s="1158"/>
      <c r="BR202" s="1158"/>
      <c r="BS202" s="1158"/>
      <c r="BT202" s="1158"/>
      <c r="BU202" s="1158"/>
      <c r="BV202" s="1158"/>
      <c r="BW202" s="1158"/>
      <c r="BX202" s="1158"/>
      <c r="BY202" s="1158"/>
      <c r="BZ202" s="1158"/>
      <c r="CA202" s="1158"/>
      <c r="CB202" s="1158"/>
      <c r="CC202" s="1158"/>
      <c r="CD202" s="1158"/>
      <c r="CE202" s="1158"/>
      <c r="CF202" s="1158"/>
      <c r="CG202" s="1158"/>
      <c r="CH202" s="1158"/>
      <c r="CI202" s="1158"/>
      <c r="CJ202" s="1158"/>
      <c r="CK202" s="1158"/>
      <c r="CL202" s="1158"/>
      <c r="CM202" s="1158"/>
      <c r="CN202" s="1158"/>
      <c r="CO202" s="1158"/>
      <c r="CP202" s="1192">
        <f>IF(INDEX('装備'!$D$59:$D$121,CX202)=0,"",INDEX('装備'!$D$59:$D$121,CX202))</f>
      </c>
      <c r="CQ202" s="1192"/>
      <c r="CR202" s="1192">
        <f>IF(INDEX('装備'!$I$59:$I$121,CX202)=0,"",INDEX('装備'!$I$59:$I$121,CX202))</f>
      </c>
      <c r="CS202" s="1192"/>
      <c r="CT202" s="1192">
        <f>IF(INDEX('装備'!$J$59:$J$121,CX202)=0,"",INDEX('装備'!$J$59:$J$121,CX202))</f>
      </c>
      <c r="CU202" s="1192"/>
      <c r="CV202" s="1192">
        <f>IF(INDEX('装備'!$F$59:$F$121,CX202)=0,"",INDEX('装備'!$F$59:$F$121,CX202))</f>
      </c>
      <c r="CW202" s="1193"/>
      <c r="CX202" s="1195">
        <v>22</v>
      </c>
      <c r="CY202" s="1196"/>
    </row>
    <row r="203" spans="1:103" ht="21" customHeight="1">
      <c r="A203" s="1163">
        <f>IF('能力'!AJ52=0,"",'能力'!AJ52)</f>
      </c>
      <c r="B203" s="1164"/>
      <c r="C203" s="1164"/>
      <c r="D203" s="1164"/>
      <c r="E203" s="1164"/>
      <c r="F203" s="1164"/>
      <c r="G203" s="1164"/>
      <c r="H203" s="1164"/>
      <c r="I203" s="1164"/>
      <c r="J203" s="1164"/>
      <c r="K203" s="1164"/>
      <c r="L203" s="1164"/>
      <c r="M203" s="1164"/>
      <c r="N203" s="1164"/>
      <c r="O203" s="1164"/>
      <c r="P203" s="1164"/>
      <c r="Q203" s="505" t="s">
        <v>61</v>
      </c>
      <c r="R203" s="1165">
        <f>IF('能力'!AS49=0,"",'能力'!AS49)</f>
      </c>
      <c r="S203" s="1166"/>
      <c r="T203" s="1166"/>
      <c r="U203" s="1166"/>
      <c r="V203" s="1166"/>
      <c r="W203" s="1166"/>
      <c r="X203" s="1166"/>
      <c r="Y203" s="1166"/>
      <c r="Z203" s="1166"/>
      <c r="AA203" s="1166"/>
      <c r="AB203" s="1166"/>
      <c r="AC203" s="1166"/>
      <c r="AD203" s="1166"/>
      <c r="AE203" s="1166"/>
      <c r="AF203" s="1166"/>
      <c r="AG203" s="1166"/>
      <c r="AH203" s="1167"/>
      <c r="AI203" s="441"/>
      <c r="AJ203" s="441"/>
      <c r="AK203" s="1514">
        <f>IF('能力'!AW70=0,"","［"&amp;'能力'!AW70&amp;"］  ")&amp;IF('能力'!AZ70=0,"",'能力'!AZ70)</f>
      </c>
      <c r="AL203" s="1515"/>
      <c r="AM203" s="1515"/>
      <c r="AN203" s="1515"/>
      <c r="AO203" s="1515"/>
      <c r="AP203" s="1515"/>
      <c r="AQ203" s="1515"/>
      <c r="AR203" s="1515"/>
      <c r="AS203" s="1515"/>
      <c r="AT203" s="1515"/>
      <c r="AU203" s="1515"/>
      <c r="AV203" s="1515"/>
      <c r="AW203" s="1515"/>
      <c r="AX203" s="1515"/>
      <c r="AY203" s="1515"/>
      <c r="AZ203" s="1515"/>
      <c r="BA203" s="1515"/>
      <c r="BB203" s="1515"/>
      <c r="BC203" s="1515"/>
      <c r="BD203" s="1515"/>
      <c r="BE203" s="1515"/>
      <c r="BF203" s="1515"/>
      <c r="BG203" s="1515"/>
      <c r="BH203" s="1515"/>
      <c r="BI203" s="1515"/>
      <c r="BJ203" s="1515"/>
      <c r="BK203" s="1516"/>
      <c r="BL203" s="431"/>
      <c r="BM203" s="431"/>
      <c r="BN203" s="1157">
        <f>IF(INDEX('装備'!$C$59:$C$121,CX203)=0,"",CONCATENATE(INDEX('装備'!$C$59:$C$121,CX203),IF(INDEX('装備'!$K$59:$K$121,CX203)=0,"",CONCATENATE(" (",INDEX('装備'!$K$59:$K$121,CX203),"チャージ)")),IF(INDEX('装備'!$L$59:$L$121,CX203)=0,"",CONCATENATE(" (難易度",INDEX('装備'!$L$59:$L$121,CX203),")")),IF(INDEX('装備'!$D$59:$D$121,CX203)&lt;=1,"",CONCATENATE(" x",INDEX('装備'!$D$59:$D$121,CX203)))))</f>
      </c>
      <c r="BO203" s="1158"/>
      <c r="BP203" s="1158"/>
      <c r="BQ203" s="1158"/>
      <c r="BR203" s="1158"/>
      <c r="BS203" s="1158"/>
      <c r="BT203" s="1158"/>
      <c r="BU203" s="1158"/>
      <c r="BV203" s="1158"/>
      <c r="BW203" s="1158"/>
      <c r="BX203" s="1158"/>
      <c r="BY203" s="1158"/>
      <c r="BZ203" s="1158"/>
      <c r="CA203" s="1158"/>
      <c r="CB203" s="1158"/>
      <c r="CC203" s="1158"/>
      <c r="CD203" s="1158"/>
      <c r="CE203" s="1158"/>
      <c r="CF203" s="1158"/>
      <c r="CG203" s="1158"/>
      <c r="CH203" s="1158"/>
      <c r="CI203" s="1158"/>
      <c r="CJ203" s="1158"/>
      <c r="CK203" s="1158"/>
      <c r="CL203" s="1158"/>
      <c r="CM203" s="1158"/>
      <c r="CN203" s="1158"/>
      <c r="CO203" s="1158"/>
      <c r="CP203" s="1192">
        <f>IF(INDEX('装備'!$D$59:$D$121,CX203)=0,"",INDEX('装備'!$D$59:$D$121,CX203))</f>
      </c>
      <c r="CQ203" s="1192"/>
      <c r="CR203" s="1192">
        <f>IF(INDEX('装備'!$I$59:$I$121,CX203)=0,"",INDEX('装備'!$I$59:$I$121,CX203))</f>
      </c>
      <c r="CS203" s="1192"/>
      <c r="CT203" s="1192">
        <f>IF(INDEX('装備'!$J$59:$J$121,CX203)=0,"",INDEX('装備'!$J$59:$J$121,CX203))</f>
      </c>
      <c r="CU203" s="1192"/>
      <c r="CV203" s="1192">
        <f>IF(INDEX('装備'!$F$59:$F$121,CX203)=0,"",INDEX('装備'!$F$59:$F$121,CX203))</f>
      </c>
      <c r="CW203" s="1193"/>
      <c r="CX203" s="1195">
        <v>23</v>
      </c>
      <c r="CY203" s="1196"/>
    </row>
    <row r="204" spans="1:103" ht="21" customHeight="1">
      <c r="A204" s="1163">
        <f>IF('能力'!AJ53=0,"",'能力'!AJ53)</f>
      </c>
      <c r="B204" s="1164"/>
      <c r="C204" s="1164"/>
      <c r="D204" s="1164"/>
      <c r="E204" s="1164"/>
      <c r="F204" s="1164"/>
      <c r="G204" s="1164"/>
      <c r="H204" s="1164"/>
      <c r="I204" s="1164"/>
      <c r="J204" s="1164"/>
      <c r="K204" s="1164"/>
      <c r="L204" s="1164"/>
      <c r="M204" s="1164"/>
      <c r="N204" s="1164"/>
      <c r="O204" s="1164"/>
      <c r="P204" s="1164"/>
      <c r="Q204" s="505" t="s">
        <v>61</v>
      </c>
      <c r="R204" s="1165">
        <f>IF('能力'!AS50=0,"",'能力'!AS50)</f>
      </c>
      <c r="S204" s="1166"/>
      <c r="T204" s="1166"/>
      <c r="U204" s="1166"/>
      <c r="V204" s="1166"/>
      <c r="W204" s="1166"/>
      <c r="X204" s="1166"/>
      <c r="Y204" s="1166"/>
      <c r="Z204" s="1166"/>
      <c r="AA204" s="1166"/>
      <c r="AB204" s="1166"/>
      <c r="AC204" s="1166"/>
      <c r="AD204" s="1166"/>
      <c r="AE204" s="1166"/>
      <c r="AF204" s="1166"/>
      <c r="AG204" s="1166"/>
      <c r="AH204" s="1167"/>
      <c r="AI204" s="441"/>
      <c r="AJ204" s="441"/>
      <c r="AK204" s="1514">
        <f>IF('能力'!AW71=0,"","［"&amp;'能力'!AW71&amp;"］  ")&amp;IF('能力'!AZ71=0,"",'能力'!AZ71)</f>
      </c>
      <c r="AL204" s="1515"/>
      <c r="AM204" s="1515"/>
      <c r="AN204" s="1515"/>
      <c r="AO204" s="1515"/>
      <c r="AP204" s="1515"/>
      <c r="AQ204" s="1515"/>
      <c r="AR204" s="1515"/>
      <c r="AS204" s="1515"/>
      <c r="AT204" s="1515"/>
      <c r="AU204" s="1515"/>
      <c r="AV204" s="1515"/>
      <c r="AW204" s="1515"/>
      <c r="AX204" s="1515"/>
      <c r="AY204" s="1515"/>
      <c r="AZ204" s="1515"/>
      <c r="BA204" s="1515"/>
      <c r="BB204" s="1515"/>
      <c r="BC204" s="1515"/>
      <c r="BD204" s="1515"/>
      <c r="BE204" s="1515"/>
      <c r="BF204" s="1515"/>
      <c r="BG204" s="1515"/>
      <c r="BH204" s="1515"/>
      <c r="BI204" s="1515"/>
      <c r="BJ204" s="1515"/>
      <c r="BK204" s="1516"/>
      <c r="BL204" s="431"/>
      <c r="BM204" s="431"/>
      <c r="BN204" s="1157">
        <f>IF(INDEX('装備'!$C$59:$C$121,CX204)=0,"",CONCATENATE(INDEX('装備'!$C$59:$C$121,CX204),IF(INDEX('装備'!$K$59:$K$121,CX204)=0,"",CONCATENATE(" (",INDEX('装備'!$K$59:$K$121,CX204),"チャージ)")),IF(INDEX('装備'!$L$59:$L$121,CX204)=0,"",CONCATENATE(" (難易度",INDEX('装備'!$L$59:$L$121,CX204),")")),IF(INDEX('装備'!$D$59:$D$121,CX204)&lt;=1,"",CONCATENATE(" x",INDEX('装備'!$D$59:$D$121,CX204)))))</f>
      </c>
      <c r="BO204" s="1158"/>
      <c r="BP204" s="1158"/>
      <c r="BQ204" s="1158"/>
      <c r="BR204" s="1158"/>
      <c r="BS204" s="1158"/>
      <c r="BT204" s="1158"/>
      <c r="BU204" s="1158"/>
      <c r="BV204" s="1158"/>
      <c r="BW204" s="1158"/>
      <c r="BX204" s="1158"/>
      <c r="BY204" s="1158"/>
      <c r="BZ204" s="1158"/>
      <c r="CA204" s="1158"/>
      <c r="CB204" s="1158"/>
      <c r="CC204" s="1158"/>
      <c r="CD204" s="1158"/>
      <c r="CE204" s="1158"/>
      <c r="CF204" s="1158"/>
      <c r="CG204" s="1158"/>
      <c r="CH204" s="1158"/>
      <c r="CI204" s="1158"/>
      <c r="CJ204" s="1158"/>
      <c r="CK204" s="1158"/>
      <c r="CL204" s="1158"/>
      <c r="CM204" s="1158"/>
      <c r="CN204" s="1158"/>
      <c r="CO204" s="1158"/>
      <c r="CP204" s="1192">
        <f>IF(INDEX('装備'!$D$59:$D$121,CX204)=0,"",INDEX('装備'!$D$59:$D$121,CX204))</f>
      </c>
      <c r="CQ204" s="1192"/>
      <c r="CR204" s="1192">
        <f>IF(INDEX('装備'!$I$59:$I$121,CX204)=0,"",INDEX('装備'!$I$59:$I$121,CX204))</f>
      </c>
      <c r="CS204" s="1192"/>
      <c r="CT204" s="1192">
        <f>IF(INDEX('装備'!$J$59:$J$121,CX204)=0,"",INDEX('装備'!$J$59:$J$121,CX204))</f>
      </c>
      <c r="CU204" s="1192"/>
      <c r="CV204" s="1192">
        <f>IF(INDEX('装備'!$F$59:$F$121,CX204)=0,"",INDEX('装備'!$F$59:$F$121,CX204))</f>
      </c>
      <c r="CW204" s="1193"/>
      <c r="CX204" s="1195">
        <v>24</v>
      </c>
      <c r="CY204" s="1196"/>
    </row>
    <row r="205" spans="1:103" ht="21" customHeight="1">
      <c r="A205" s="1163">
        <f>IF('能力'!AJ54=0,"",'能力'!AJ54)</f>
      </c>
      <c r="B205" s="1164"/>
      <c r="C205" s="1164"/>
      <c r="D205" s="1164"/>
      <c r="E205" s="1164"/>
      <c r="F205" s="1164"/>
      <c r="G205" s="1164"/>
      <c r="H205" s="1164"/>
      <c r="I205" s="1164"/>
      <c r="J205" s="1164"/>
      <c r="K205" s="1164"/>
      <c r="L205" s="1164"/>
      <c r="M205" s="1164"/>
      <c r="N205" s="1164"/>
      <c r="O205" s="1164"/>
      <c r="P205" s="1164"/>
      <c r="Q205" s="505" t="s">
        <v>61</v>
      </c>
      <c r="R205" s="1165">
        <f>IF('能力'!AS51=0,"",'能力'!AS51)</f>
      </c>
      <c r="S205" s="1166"/>
      <c r="T205" s="1166"/>
      <c r="U205" s="1166"/>
      <c r="V205" s="1166"/>
      <c r="W205" s="1166"/>
      <c r="X205" s="1166"/>
      <c r="Y205" s="1166"/>
      <c r="Z205" s="1166"/>
      <c r="AA205" s="1166"/>
      <c r="AB205" s="1166"/>
      <c r="AC205" s="1166"/>
      <c r="AD205" s="1166"/>
      <c r="AE205" s="1166"/>
      <c r="AF205" s="1166"/>
      <c r="AG205" s="1166"/>
      <c r="AH205" s="1167"/>
      <c r="AI205" s="441"/>
      <c r="AJ205" s="441"/>
      <c r="AK205" s="1514">
        <f>IF('能力'!AW72=0,"","［"&amp;'能力'!AW72&amp;"］  ")&amp;IF('能力'!AZ72=0,"",'能力'!AZ72)</f>
      </c>
      <c r="AL205" s="1515"/>
      <c r="AM205" s="1515"/>
      <c r="AN205" s="1515"/>
      <c r="AO205" s="1515"/>
      <c r="AP205" s="1515"/>
      <c r="AQ205" s="1515"/>
      <c r="AR205" s="1515"/>
      <c r="AS205" s="1515"/>
      <c r="AT205" s="1515"/>
      <c r="AU205" s="1515"/>
      <c r="AV205" s="1515"/>
      <c r="AW205" s="1515"/>
      <c r="AX205" s="1515"/>
      <c r="AY205" s="1515"/>
      <c r="AZ205" s="1515"/>
      <c r="BA205" s="1515"/>
      <c r="BB205" s="1515"/>
      <c r="BC205" s="1515"/>
      <c r="BD205" s="1515"/>
      <c r="BE205" s="1515"/>
      <c r="BF205" s="1515"/>
      <c r="BG205" s="1515"/>
      <c r="BH205" s="1515"/>
      <c r="BI205" s="1515"/>
      <c r="BJ205" s="1515"/>
      <c r="BK205" s="1516"/>
      <c r="BL205" s="431"/>
      <c r="BM205" s="431"/>
      <c r="BN205" s="1157">
        <f>IF(INDEX('装備'!$C$59:$C$121,CX205)=0,"",CONCATENATE(INDEX('装備'!$C$59:$C$121,CX205),IF(INDEX('装備'!$K$59:$K$121,CX205)=0,"",CONCATENATE(" (",INDEX('装備'!$K$59:$K$121,CX205),"チャージ)")),IF(INDEX('装備'!$L$59:$L$121,CX205)=0,"",CONCATENATE(" (難易度",INDEX('装備'!$L$59:$L$121,CX205),")")),IF(INDEX('装備'!$D$59:$D$121,CX205)&lt;=1,"",CONCATENATE(" x",INDEX('装備'!$D$59:$D$121,CX205)))))</f>
      </c>
      <c r="BO205" s="1158"/>
      <c r="BP205" s="1158"/>
      <c r="BQ205" s="1158"/>
      <c r="BR205" s="1158"/>
      <c r="BS205" s="1158"/>
      <c r="BT205" s="1158"/>
      <c r="BU205" s="1158"/>
      <c r="BV205" s="1158"/>
      <c r="BW205" s="1158"/>
      <c r="BX205" s="1158"/>
      <c r="BY205" s="1158"/>
      <c r="BZ205" s="1158"/>
      <c r="CA205" s="1158"/>
      <c r="CB205" s="1158"/>
      <c r="CC205" s="1158"/>
      <c r="CD205" s="1158"/>
      <c r="CE205" s="1158"/>
      <c r="CF205" s="1158"/>
      <c r="CG205" s="1158"/>
      <c r="CH205" s="1158"/>
      <c r="CI205" s="1158"/>
      <c r="CJ205" s="1158"/>
      <c r="CK205" s="1158"/>
      <c r="CL205" s="1158"/>
      <c r="CM205" s="1158"/>
      <c r="CN205" s="1158"/>
      <c r="CO205" s="1158"/>
      <c r="CP205" s="1192">
        <f>IF(INDEX('装備'!$D$59:$D$121,CX205)=0,"",INDEX('装備'!$D$59:$D$121,CX205))</f>
      </c>
      <c r="CQ205" s="1192"/>
      <c r="CR205" s="1192">
        <f>IF(INDEX('装備'!$I$59:$I$121,CX205)=0,"",INDEX('装備'!$I$59:$I$121,CX205))</f>
      </c>
      <c r="CS205" s="1192"/>
      <c r="CT205" s="1192">
        <f>IF(INDEX('装備'!$J$59:$J$121,CX205)=0,"",INDEX('装備'!$J$59:$J$121,CX205))</f>
      </c>
      <c r="CU205" s="1192"/>
      <c r="CV205" s="1192">
        <f>IF(INDEX('装備'!$F$59:$F$121,CX205)=0,"",INDEX('装備'!$F$59:$F$121,CX205))</f>
      </c>
      <c r="CW205" s="1193"/>
      <c r="CX205" s="1195">
        <v>25</v>
      </c>
      <c r="CY205" s="1196"/>
    </row>
    <row r="206" spans="1:103" ht="21" customHeight="1">
      <c r="A206" s="1163">
        <f>IF('能力'!AJ55=0,"",'能力'!AJ55)</f>
      </c>
      <c r="B206" s="1164"/>
      <c r="C206" s="1164"/>
      <c r="D206" s="1164"/>
      <c r="E206" s="1164"/>
      <c r="F206" s="1164"/>
      <c r="G206" s="1164"/>
      <c r="H206" s="1164"/>
      <c r="I206" s="1164"/>
      <c r="J206" s="1164"/>
      <c r="K206" s="1164"/>
      <c r="L206" s="1164"/>
      <c r="M206" s="1164"/>
      <c r="N206" s="1164"/>
      <c r="O206" s="1164"/>
      <c r="P206" s="1164"/>
      <c r="Q206" s="505" t="s">
        <v>61</v>
      </c>
      <c r="R206" s="1165">
        <f>IF('能力'!AS52=0,"",'能力'!AS52)</f>
      </c>
      <c r="S206" s="1166"/>
      <c r="T206" s="1166"/>
      <c r="U206" s="1166"/>
      <c r="V206" s="1166"/>
      <c r="W206" s="1166"/>
      <c r="X206" s="1166"/>
      <c r="Y206" s="1166"/>
      <c r="Z206" s="1166"/>
      <c r="AA206" s="1166"/>
      <c r="AB206" s="1166"/>
      <c r="AC206" s="1166"/>
      <c r="AD206" s="1166"/>
      <c r="AE206" s="1166"/>
      <c r="AF206" s="1166"/>
      <c r="AG206" s="1166"/>
      <c r="AH206" s="1167"/>
      <c r="AI206" s="503"/>
      <c r="AJ206" s="504"/>
      <c r="AK206" s="1514">
        <f>IF('能力'!AW73=0,"","［"&amp;'能力'!AW73&amp;"］  ")&amp;IF('能力'!AZ73=0,"",'能力'!AZ73)</f>
      </c>
      <c r="AL206" s="1515"/>
      <c r="AM206" s="1515"/>
      <c r="AN206" s="1515"/>
      <c r="AO206" s="1515"/>
      <c r="AP206" s="1515"/>
      <c r="AQ206" s="1515"/>
      <c r="AR206" s="1515"/>
      <c r="AS206" s="1515"/>
      <c r="AT206" s="1515"/>
      <c r="AU206" s="1515"/>
      <c r="AV206" s="1515"/>
      <c r="AW206" s="1515"/>
      <c r="AX206" s="1515"/>
      <c r="AY206" s="1515"/>
      <c r="AZ206" s="1515"/>
      <c r="BA206" s="1515"/>
      <c r="BB206" s="1515"/>
      <c r="BC206" s="1515"/>
      <c r="BD206" s="1515"/>
      <c r="BE206" s="1515"/>
      <c r="BF206" s="1515"/>
      <c r="BG206" s="1515"/>
      <c r="BH206" s="1515"/>
      <c r="BI206" s="1515"/>
      <c r="BJ206" s="1515"/>
      <c r="BK206" s="1516"/>
      <c r="BL206" s="431"/>
      <c r="BM206" s="431"/>
      <c r="BN206" s="1157">
        <f>IF(INDEX('装備'!$C$59:$C$121,CX206)=0,"",CONCATENATE(INDEX('装備'!$C$59:$C$121,CX206),IF(INDEX('装備'!$K$59:$K$121,CX206)=0,"",CONCATENATE(" (",INDEX('装備'!$K$59:$K$121,CX206),"チャージ)")),IF(INDEX('装備'!$L$59:$L$121,CX206)=0,"",CONCATENATE(" (難易度",INDEX('装備'!$L$59:$L$121,CX206),")")),IF(INDEX('装備'!$D$59:$D$121,CX206)&lt;=1,"",CONCATENATE(" x",INDEX('装備'!$D$59:$D$121,CX206)))))</f>
      </c>
      <c r="BO206" s="1158"/>
      <c r="BP206" s="1158"/>
      <c r="BQ206" s="1158"/>
      <c r="BR206" s="1158"/>
      <c r="BS206" s="1158"/>
      <c r="BT206" s="1158"/>
      <c r="BU206" s="1158"/>
      <c r="BV206" s="1158"/>
      <c r="BW206" s="1158"/>
      <c r="BX206" s="1158"/>
      <c r="BY206" s="1158"/>
      <c r="BZ206" s="1158"/>
      <c r="CA206" s="1158"/>
      <c r="CB206" s="1158"/>
      <c r="CC206" s="1158"/>
      <c r="CD206" s="1158"/>
      <c r="CE206" s="1158"/>
      <c r="CF206" s="1158"/>
      <c r="CG206" s="1158"/>
      <c r="CH206" s="1158"/>
      <c r="CI206" s="1158"/>
      <c r="CJ206" s="1158"/>
      <c r="CK206" s="1158"/>
      <c r="CL206" s="1158"/>
      <c r="CM206" s="1158"/>
      <c r="CN206" s="1158"/>
      <c r="CO206" s="1158"/>
      <c r="CP206" s="1192">
        <f>IF(INDEX('装備'!$D$59:$D$121,CX206)=0,"",INDEX('装備'!$D$59:$D$121,CX206))</f>
      </c>
      <c r="CQ206" s="1192"/>
      <c r="CR206" s="1192">
        <f>IF(INDEX('装備'!$I$59:$I$121,CX206)=0,"",INDEX('装備'!$I$59:$I$121,CX206))</f>
      </c>
      <c r="CS206" s="1192"/>
      <c r="CT206" s="1192">
        <f>IF(INDEX('装備'!$J$59:$J$121,CX206)=0,"",INDEX('装備'!$J$59:$J$121,CX206))</f>
      </c>
      <c r="CU206" s="1192"/>
      <c r="CV206" s="1192">
        <f>IF(INDEX('装備'!$F$59:$F$121,CX206)=0,"",INDEX('装備'!$F$59:$F$121,CX206))</f>
      </c>
      <c r="CW206" s="1193"/>
      <c r="CX206" s="1195">
        <v>26</v>
      </c>
      <c r="CY206" s="1196"/>
    </row>
    <row r="207" spans="1:103" ht="21" customHeight="1">
      <c r="A207" s="1163">
        <f>IF('能力'!AJ56=0,"",'能力'!AJ56)</f>
      </c>
      <c r="B207" s="1164"/>
      <c r="C207" s="1164"/>
      <c r="D207" s="1164"/>
      <c r="E207" s="1164"/>
      <c r="F207" s="1164"/>
      <c r="G207" s="1164"/>
      <c r="H207" s="1164"/>
      <c r="I207" s="1164"/>
      <c r="J207" s="1164"/>
      <c r="K207" s="1164"/>
      <c r="L207" s="1164"/>
      <c r="M207" s="1164"/>
      <c r="N207" s="1164"/>
      <c r="O207" s="1164"/>
      <c r="P207" s="1164"/>
      <c r="Q207" s="505" t="s">
        <v>61</v>
      </c>
      <c r="R207" s="1165">
        <f>IF('能力'!AS53=0,"",'能力'!AS53)</f>
      </c>
      <c r="S207" s="1166"/>
      <c r="T207" s="1166"/>
      <c r="U207" s="1166"/>
      <c r="V207" s="1166"/>
      <c r="W207" s="1166"/>
      <c r="X207" s="1166"/>
      <c r="Y207" s="1166"/>
      <c r="Z207" s="1166"/>
      <c r="AA207" s="1166"/>
      <c r="AB207" s="1166"/>
      <c r="AC207" s="1166"/>
      <c r="AD207" s="1166"/>
      <c r="AE207" s="1166"/>
      <c r="AF207" s="1166"/>
      <c r="AG207" s="1166"/>
      <c r="AH207" s="1167"/>
      <c r="AI207" s="503"/>
      <c r="AJ207" s="503"/>
      <c r="AK207" s="1514">
        <f>IF('能力'!AW74=0,"","［"&amp;'能力'!AW74&amp;"］  ")&amp;IF('能力'!AZ74=0,"",'能力'!AZ74)</f>
      </c>
      <c r="AL207" s="1515"/>
      <c r="AM207" s="1515"/>
      <c r="AN207" s="1515"/>
      <c r="AO207" s="1515"/>
      <c r="AP207" s="1515"/>
      <c r="AQ207" s="1515"/>
      <c r="AR207" s="1515"/>
      <c r="AS207" s="1515"/>
      <c r="AT207" s="1515"/>
      <c r="AU207" s="1515"/>
      <c r="AV207" s="1515"/>
      <c r="AW207" s="1515"/>
      <c r="AX207" s="1515"/>
      <c r="AY207" s="1515"/>
      <c r="AZ207" s="1515"/>
      <c r="BA207" s="1515"/>
      <c r="BB207" s="1515"/>
      <c r="BC207" s="1515"/>
      <c r="BD207" s="1515"/>
      <c r="BE207" s="1515"/>
      <c r="BF207" s="1515"/>
      <c r="BG207" s="1515"/>
      <c r="BH207" s="1515"/>
      <c r="BI207" s="1515"/>
      <c r="BJ207" s="1515"/>
      <c r="BK207" s="1516"/>
      <c r="BL207" s="431"/>
      <c r="BM207" s="431"/>
      <c r="BN207" s="1157">
        <f>IF(INDEX('装備'!$C$59:$C$121,CX207)=0,"",CONCATENATE(INDEX('装備'!$C$59:$C$121,CX207),IF(INDEX('装備'!$K$59:$K$121,CX207)=0,"",CONCATENATE(" (",INDEX('装備'!$K$59:$K$121,CX207),"チャージ)")),IF(INDEX('装備'!$L$59:$L$121,CX207)=0,"",CONCATENATE(" (難易度",INDEX('装備'!$L$59:$L$121,CX207),")")),IF(INDEX('装備'!$D$59:$D$121,CX207)&lt;=1,"",CONCATENATE(" x",INDEX('装備'!$D$59:$D$121,CX207)))))</f>
      </c>
      <c r="BO207" s="1158"/>
      <c r="BP207" s="1158"/>
      <c r="BQ207" s="1158"/>
      <c r="BR207" s="1158"/>
      <c r="BS207" s="1158"/>
      <c r="BT207" s="1158"/>
      <c r="BU207" s="1158"/>
      <c r="BV207" s="1158"/>
      <c r="BW207" s="1158"/>
      <c r="BX207" s="1158"/>
      <c r="BY207" s="1158"/>
      <c r="BZ207" s="1158"/>
      <c r="CA207" s="1158"/>
      <c r="CB207" s="1158"/>
      <c r="CC207" s="1158"/>
      <c r="CD207" s="1158"/>
      <c r="CE207" s="1158"/>
      <c r="CF207" s="1158"/>
      <c r="CG207" s="1158"/>
      <c r="CH207" s="1158"/>
      <c r="CI207" s="1158"/>
      <c r="CJ207" s="1158"/>
      <c r="CK207" s="1158"/>
      <c r="CL207" s="1158"/>
      <c r="CM207" s="1158"/>
      <c r="CN207" s="1158"/>
      <c r="CO207" s="1158"/>
      <c r="CP207" s="1192">
        <f>IF(INDEX('装備'!$D$59:$D$121,CX207)=0,"",INDEX('装備'!$D$59:$D$121,CX207))</f>
      </c>
      <c r="CQ207" s="1192"/>
      <c r="CR207" s="1192">
        <f>IF(INDEX('装備'!$I$59:$I$121,CX207)=0,"",INDEX('装備'!$I$59:$I$121,CX207))</f>
      </c>
      <c r="CS207" s="1192"/>
      <c r="CT207" s="1192">
        <f>IF(INDEX('装備'!$J$59:$J$121,CX207)=0,"",INDEX('装備'!$J$59:$J$121,CX207))</f>
      </c>
      <c r="CU207" s="1192"/>
      <c r="CV207" s="1192">
        <f>IF(INDEX('装備'!$F$59:$F$121,CX207)=0,"",INDEX('装備'!$F$59:$F$121,CX207))</f>
      </c>
      <c r="CW207" s="1193"/>
      <c r="CX207" s="1195">
        <v>27</v>
      </c>
      <c r="CY207" s="1196"/>
    </row>
    <row r="208" spans="1:103" ht="21" customHeight="1">
      <c r="A208" s="1793"/>
      <c r="B208" s="1794"/>
      <c r="C208" s="1794"/>
      <c r="D208" s="1794"/>
      <c r="E208" s="1794"/>
      <c r="F208" s="1794"/>
      <c r="G208" s="1794"/>
      <c r="H208" s="1794"/>
      <c r="I208" s="1794"/>
      <c r="J208" s="1794"/>
      <c r="K208" s="1794"/>
      <c r="L208" s="1794"/>
      <c r="M208" s="1794"/>
      <c r="N208" s="1794"/>
      <c r="O208" s="1794"/>
      <c r="P208" s="1794"/>
      <c r="Q208" s="1794"/>
      <c r="R208" s="1794"/>
      <c r="S208" s="1794"/>
      <c r="T208" s="1794"/>
      <c r="U208" s="1794"/>
      <c r="V208" s="1794"/>
      <c r="W208" s="1794"/>
      <c r="X208" s="1794"/>
      <c r="Y208" s="1794"/>
      <c r="Z208" s="1794"/>
      <c r="AA208" s="1794"/>
      <c r="AB208" s="1794"/>
      <c r="AC208" s="1794"/>
      <c r="AD208" s="1794"/>
      <c r="AE208" s="1794"/>
      <c r="AF208" s="1794"/>
      <c r="AG208" s="1794"/>
      <c r="AH208" s="1795"/>
      <c r="AI208" s="503"/>
      <c r="AJ208" s="503"/>
      <c r="AK208" s="1514">
        <f>IF('能力'!AW75=0,"","［"&amp;'能力'!AW75&amp;"］  ")&amp;IF('能力'!AZ75=0,"",'能力'!AZ75)</f>
      </c>
      <c r="AL208" s="1515"/>
      <c r="AM208" s="1515"/>
      <c r="AN208" s="1515"/>
      <c r="AO208" s="1515"/>
      <c r="AP208" s="1515"/>
      <c r="AQ208" s="1515"/>
      <c r="AR208" s="1515"/>
      <c r="AS208" s="1515"/>
      <c r="AT208" s="1515"/>
      <c r="AU208" s="1515"/>
      <c r="AV208" s="1515"/>
      <c r="AW208" s="1515"/>
      <c r="AX208" s="1515"/>
      <c r="AY208" s="1515"/>
      <c r="AZ208" s="1515"/>
      <c r="BA208" s="1515"/>
      <c r="BB208" s="1515"/>
      <c r="BC208" s="1515"/>
      <c r="BD208" s="1515"/>
      <c r="BE208" s="1515"/>
      <c r="BF208" s="1515"/>
      <c r="BG208" s="1515"/>
      <c r="BH208" s="1515"/>
      <c r="BI208" s="1515"/>
      <c r="BJ208" s="1515"/>
      <c r="BK208" s="1516"/>
      <c r="BL208" s="431"/>
      <c r="BM208" s="431"/>
      <c r="BN208" s="1157">
        <f>IF(INDEX('装備'!$C$59:$C$121,CX208)=0,"",CONCATENATE(INDEX('装備'!$C$59:$C$121,CX208),IF(INDEX('装備'!$K$59:$K$121,CX208)=0,"",CONCATENATE(" (",INDEX('装備'!$K$59:$K$121,CX208),"チャージ)")),IF(INDEX('装備'!$L$59:$L$121,CX208)=0,"",CONCATENATE(" (難易度",INDEX('装備'!$L$59:$L$121,CX208),")")),IF(INDEX('装備'!$D$59:$D$121,CX208)&lt;=1,"",CONCATENATE(" x",INDEX('装備'!$D$59:$D$121,CX208)))))</f>
      </c>
      <c r="BO208" s="1158"/>
      <c r="BP208" s="1158"/>
      <c r="BQ208" s="1158"/>
      <c r="BR208" s="1158"/>
      <c r="BS208" s="1158"/>
      <c r="BT208" s="1158"/>
      <c r="BU208" s="1158"/>
      <c r="BV208" s="1158"/>
      <c r="BW208" s="1158"/>
      <c r="BX208" s="1158"/>
      <c r="BY208" s="1158"/>
      <c r="BZ208" s="1158"/>
      <c r="CA208" s="1158"/>
      <c r="CB208" s="1158"/>
      <c r="CC208" s="1158"/>
      <c r="CD208" s="1158"/>
      <c r="CE208" s="1158"/>
      <c r="CF208" s="1158"/>
      <c r="CG208" s="1158"/>
      <c r="CH208" s="1158"/>
      <c r="CI208" s="1158"/>
      <c r="CJ208" s="1158"/>
      <c r="CK208" s="1158"/>
      <c r="CL208" s="1158"/>
      <c r="CM208" s="1158"/>
      <c r="CN208" s="1158"/>
      <c r="CO208" s="1158"/>
      <c r="CP208" s="1192">
        <f>IF(INDEX('装備'!$D$59:$D$121,CX208)=0,"",INDEX('装備'!$D$59:$D$121,CX208))</f>
      </c>
      <c r="CQ208" s="1192"/>
      <c r="CR208" s="1192">
        <f>IF(INDEX('装備'!$I$59:$I$121,CX208)=0,"",INDEX('装備'!$I$59:$I$121,CX208))</f>
      </c>
      <c r="CS208" s="1192"/>
      <c r="CT208" s="1192">
        <f>IF(INDEX('装備'!$J$59:$J$121,CX208)=0,"",INDEX('装備'!$J$59:$J$121,CX208))</f>
      </c>
      <c r="CU208" s="1192"/>
      <c r="CV208" s="1192">
        <f>IF(INDEX('装備'!$F$59:$F$121,CX208)=0,"",INDEX('装備'!$F$59:$F$121,CX208))</f>
      </c>
      <c r="CW208" s="1193"/>
      <c r="CX208" s="1195">
        <v>28</v>
      </c>
      <c r="CY208" s="1196"/>
    </row>
    <row r="209" spans="1:103" ht="21" customHeight="1">
      <c r="A209" s="1796"/>
      <c r="B209" s="1797"/>
      <c r="C209" s="1797"/>
      <c r="D209" s="1797"/>
      <c r="E209" s="1797"/>
      <c r="F209" s="1797"/>
      <c r="G209" s="1797"/>
      <c r="H209" s="1797"/>
      <c r="I209" s="1797"/>
      <c r="J209" s="1797"/>
      <c r="K209" s="1797"/>
      <c r="L209" s="1797"/>
      <c r="M209" s="1797"/>
      <c r="N209" s="1797"/>
      <c r="O209" s="1797"/>
      <c r="P209" s="1797"/>
      <c r="Q209" s="1797"/>
      <c r="R209" s="1797"/>
      <c r="S209" s="1797"/>
      <c r="T209" s="1797"/>
      <c r="U209" s="1797"/>
      <c r="V209" s="1797"/>
      <c r="W209" s="1797"/>
      <c r="X209" s="1797"/>
      <c r="Y209" s="1797"/>
      <c r="Z209" s="1797"/>
      <c r="AA209" s="1797"/>
      <c r="AB209" s="1797"/>
      <c r="AC209" s="1797"/>
      <c r="AD209" s="1797"/>
      <c r="AE209" s="1797"/>
      <c r="AF209" s="1797"/>
      <c r="AG209" s="1797"/>
      <c r="AH209" s="1798"/>
      <c r="AI209" s="503"/>
      <c r="AJ209" s="503"/>
      <c r="AK209" s="1514">
        <f>IF('能力'!AW76=0,"","［"&amp;'能力'!AW76&amp;"］  ")&amp;IF('能力'!AZ76=0,"",'能力'!AZ76)</f>
      </c>
      <c r="AL209" s="1515"/>
      <c r="AM209" s="1515"/>
      <c r="AN209" s="1515"/>
      <c r="AO209" s="1515"/>
      <c r="AP209" s="1515"/>
      <c r="AQ209" s="1515"/>
      <c r="AR209" s="1515"/>
      <c r="AS209" s="1515"/>
      <c r="AT209" s="1515"/>
      <c r="AU209" s="1515"/>
      <c r="AV209" s="1515"/>
      <c r="AW209" s="1515"/>
      <c r="AX209" s="1515"/>
      <c r="AY209" s="1515"/>
      <c r="AZ209" s="1515"/>
      <c r="BA209" s="1515"/>
      <c r="BB209" s="1515"/>
      <c r="BC209" s="1515"/>
      <c r="BD209" s="1515"/>
      <c r="BE209" s="1515"/>
      <c r="BF209" s="1515"/>
      <c r="BG209" s="1515"/>
      <c r="BH209" s="1515"/>
      <c r="BI209" s="1515"/>
      <c r="BJ209" s="1515"/>
      <c r="BK209" s="1516"/>
      <c r="BL209" s="244" t="s">
        <v>220</v>
      </c>
      <c r="BM209" s="431"/>
      <c r="BN209" s="1157">
        <f>IF(INDEX('装備'!$C$59:$C$121,CX209)=0,"",CONCATENATE(INDEX('装備'!$C$59:$C$121,CX209),IF(INDEX('装備'!$K$59:$K$121,CX209)=0,"",CONCATENATE(" (",INDEX('装備'!$K$59:$K$121,CX209),"チャージ)")),IF(INDEX('装備'!$L$59:$L$121,CX209)=0,"",CONCATENATE(" (難易度",INDEX('装備'!$L$59:$L$121,CX209),")")),IF(INDEX('装備'!$D$59:$D$121,CX209)&lt;=1,"",CONCATENATE(" x",INDEX('装備'!$D$59:$D$121,CX209)))))</f>
      </c>
      <c r="BO209" s="1158"/>
      <c r="BP209" s="1158"/>
      <c r="BQ209" s="1158"/>
      <c r="BR209" s="1158"/>
      <c r="BS209" s="1158"/>
      <c r="BT209" s="1158"/>
      <c r="BU209" s="1158"/>
      <c r="BV209" s="1158"/>
      <c r="BW209" s="1158"/>
      <c r="BX209" s="1158"/>
      <c r="BY209" s="1158"/>
      <c r="BZ209" s="1158"/>
      <c r="CA209" s="1158"/>
      <c r="CB209" s="1158"/>
      <c r="CC209" s="1158"/>
      <c r="CD209" s="1158"/>
      <c r="CE209" s="1158"/>
      <c r="CF209" s="1158"/>
      <c r="CG209" s="1158"/>
      <c r="CH209" s="1158"/>
      <c r="CI209" s="1158"/>
      <c r="CJ209" s="1158"/>
      <c r="CK209" s="1158"/>
      <c r="CL209" s="1158"/>
      <c r="CM209" s="1158"/>
      <c r="CN209" s="1158"/>
      <c r="CO209" s="1158"/>
      <c r="CP209" s="1192">
        <f>IF(INDEX('装備'!$D$59:$D$121,CX209)=0,"",INDEX('装備'!$D$59:$D$121,CX209))</f>
      </c>
      <c r="CQ209" s="1192"/>
      <c r="CR209" s="1192">
        <f>IF(INDEX('装備'!$I$59:$I$121,CX209)=0,"",INDEX('装備'!$I$59:$I$121,CX209))</f>
      </c>
      <c r="CS209" s="1192"/>
      <c r="CT209" s="1192">
        <f>IF(INDEX('装備'!$J$59:$J$121,CX209)=0,"",INDEX('装備'!$J$59:$J$121,CX209))</f>
      </c>
      <c r="CU209" s="1192"/>
      <c r="CV209" s="1192">
        <f>IF(INDEX('装備'!$F$59:$F$121,CX209)=0,"",INDEX('装備'!$F$59:$F$121,CX209))</f>
      </c>
      <c r="CW209" s="1193"/>
      <c r="CX209" s="1195">
        <v>29</v>
      </c>
      <c r="CY209" s="1196"/>
    </row>
    <row r="210" spans="1:103" ht="21" customHeight="1">
      <c r="A210" s="1796"/>
      <c r="B210" s="1797"/>
      <c r="C210" s="1797"/>
      <c r="D210" s="1797"/>
      <c r="E210" s="1797"/>
      <c r="F210" s="1797"/>
      <c r="G210" s="1797"/>
      <c r="H210" s="1797"/>
      <c r="I210" s="1797"/>
      <c r="J210" s="1797"/>
      <c r="K210" s="1797"/>
      <c r="L210" s="1797"/>
      <c r="M210" s="1797"/>
      <c r="N210" s="1797"/>
      <c r="O210" s="1797"/>
      <c r="P210" s="1797"/>
      <c r="Q210" s="1797"/>
      <c r="R210" s="1797"/>
      <c r="S210" s="1797"/>
      <c r="T210" s="1797"/>
      <c r="U210" s="1797"/>
      <c r="V210" s="1797"/>
      <c r="W210" s="1797"/>
      <c r="X210" s="1797"/>
      <c r="Y210" s="1797"/>
      <c r="Z210" s="1797"/>
      <c r="AA210" s="1797"/>
      <c r="AB210" s="1797"/>
      <c r="AC210" s="1797"/>
      <c r="AD210" s="1797"/>
      <c r="AE210" s="1797"/>
      <c r="AF210" s="1797"/>
      <c r="AG210" s="1797"/>
      <c r="AH210" s="1798"/>
      <c r="AI210" s="503"/>
      <c r="AJ210" s="503"/>
      <c r="AK210" s="1514">
        <f>IF('能力'!AW77=0,"","［"&amp;'能力'!AW77&amp;"］  ")&amp;IF('能力'!AZ77=0,"",'能力'!AZ77)</f>
      </c>
      <c r="AL210" s="1515"/>
      <c r="AM210" s="1515"/>
      <c r="AN210" s="1515"/>
      <c r="AO210" s="1515"/>
      <c r="AP210" s="1515"/>
      <c r="AQ210" s="1515"/>
      <c r="AR210" s="1515"/>
      <c r="AS210" s="1515"/>
      <c r="AT210" s="1515"/>
      <c r="AU210" s="1515"/>
      <c r="AV210" s="1515"/>
      <c r="AW210" s="1515"/>
      <c r="AX210" s="1515"/>
      <c r="AY210" s="1515"/>
      <c r="AZ210" s="1515"/>
      <c r="BA210" s="1515"/>
      <c r="BB210" s="1515"/>
      <c r="BC210" s="1515"/>
      <c r="BD210" s="1515"/>
      <c r="BE210" s="1515"/>
      <c r="BF210" s="1515"/>
      <c r="BG210" s="1515"/>
      <c r="BH210" s="1515"/>
      <c r="BI210" s="1515"/>
      <c r="BJ210" s="1515"/>
      <c r="BK210" s="1516"/>
      <c r="BL210" s="506">
        <v>1</v>
      </c>
      <c r="BM210" s="431"/>
      <c r="BN210" s="1157">
        <f>IF(INDEX('装備'!$C$59:$C$121,CX210)=0,"",CONCATENATE(INDEX('装備'!$C$59:$C$121,CX210),IF(INDEX('装備'!$K$59:$K$121,CX210)=0,"",CONCATENATE(" (",INDEX('装備'!$K$59:$K$121,CX210),"チャージ)")),IF(INDEX('装備'!$L$59:$L$121,CX210)=0,"",CONCATENATE(" (難易度",INDEX('装備'!$L$59:$L$121,CX210),")")),IF(INDEX('装備'!$D$59:$D$121,CX210)&lt;=1,"",CONCATENATE(" x",INDEX('装備'!$D$59:$D$121,CX210)))))</f>
      </c>
      <c r="BO210" s="1158"/>
      <c r="BP210" s="1158"/>
      <c r="BQ210" s="1158"/>
      <c r="BR210" s="1158"/>
      <c r="BS210" s="1158"/>
      <c r="BT210" s="1158"/>
      <c r="BU210" s="1158"/>
      <c r="BV210" s="1158"/>
      <c r="BW210" s="1158"/>
      <c r="BX210" s="1158"/>
      <c r="BY210" s="1158"/>
      <c r="BZ210" s="1158"/>
      <c r="CA210" s="1158"/>
      <c r="CB210" s="1158"/>
      <c r="CC210" s="1158"/>
      <c r="CD210" s="1158"/>
      <c r="CE210" s="1158"/>
      <c r="CF210" s="1158"/>
      <c r="CG210" s="1158"/>
      <c r="CH210" s="1158"/>
      <c r="CI210" s="1158"/>
      <c r="CJ210" s="1158"/>
      <c r="CK210" s="1158"/>
      <c r="CL210" s="1158"/>
      <c r="CM210" s="1158"/>
      <c r="CN210" s="1158"/>
      <c r="CO210" s="1158"/>
      <c r="CP210" s="1192">
        <f>IF(INDEX('装備'!$D$59:$D$121,CX210)=0,"",INDEX('装備'!$D$59:$D$121,CX210))</f>
      </c>
      <c r="CQ210" s="1192"/>
      <c r="CR210" s="1192">
        <f>IF(INDEX('装備'!$I$59:$I$121,CX210)=0,"",INDEX('装備'!$I$59:$I$121,CX210))</f>
      </c>
      <c r="CS210" s="1192"/>
      <c r="CT210" s="1192">
        <f>IF(INDEX('装備'!$J$59:$J$121,CX210)=0,"",INDEX('装備'!$J$59:$J$121,CX210))</f>
      </c>
      <c r="CU210" s="1192"/>
      <c r="CV210" s="1192">
        <f>IF(INDEX('装備'!$F$59:$F$121,CX210)=0,"",INDEX('装備'!$F$59:$F$121,CX210))</f>
      </c>
      <c r="CW210" s="1193"/>
      <c r="CX210" s="1195">
        <v>30</v>
      </c>
      <c r="CY210" s="1196"/>
    </row>
    <row r="211" spans="1:103" ht="21" customHeight="1">
      <c r="A211" s="1796"/>
      <c r="B211" s="1797"/>
      <c r="C211" s="1797"/>
      <c r="D211" s="1797"/>
      <c r="E211" s="1797"/>
      <c r="F211" s="1797"/>
      <c r="G211" s="1797"/>
      <c r="H211" s="1797"/>
      <c r="I211" s="1797"/>
      <c r="J211" s="1797"/>
      <c r="K211" s="1797"/>
      <c r="L211" s="1797"/>
      <c r="M211" s="1797"/>
      <c r="N211" s="1797"/>
      <c r="O211" s="1797"/>
      <c r="P211" s="1797"/>
      <c r="Q211" s="1797"/>
      <c r="R211" s="1797"/>
      <c r="S211" s="1797"/>
      <c r="T211" s="1797"/>
      <c r="U211" s="1797"/>
      <c r="V211" s="1797"/>
      <c r="W211" s="1797"/>
      <c r="X211" s="1797"/>
      <c r="Y211" s="1797"/>
      <c r="Z211" s="1797"/>
      <c r="AA211" s="1797"/>
      <c r="AB211" s="1797"/>
      <c r="AC211" s="1797"/>
      <c r="AD211" s="1797"/>
      <c r="AE211" s="1797"/>
      <c r="AF211" s="1797"/>
      <c r="AG211" s="1797"/>
      <c r="AH211" s="1798"/>
      <c r="AI211" s="503"/>
      <c r="AJ211" s="503"/>
      <c r="AK211" s="1514">
        <f>IF('能力'!AW78=0,"","［"&amp;'能力'!AW78&amp;"］  ")&amp;IF('能力'!AZ78=0,"",'能力'!AZ78)</f>
      </c>
      <c r="AL211" s="1515"/>
      <c r="AM211" s="1515"/>
      <c r="AN211" s="1515"/>
      <c r="AO211" s="1515"/>
      <c r="AP211" s="1515"/>
      <c r="AQ211" s="1515"/>
      <c r="AR211" s="1515"/>
      <c r="AS211" s="1515"/>
      <c r="AT211" s="1515"/>
      <c r="AU211" s="1515"/>
      <c r="AV211" s="1515"/>
      <c r="AW211" s="1515"/>
      <c r="AX211" s="1515"/>
      <c r="AY211" s="1515"/>
      <c r="AZ211" s="1515"/>
      <c r="BA211" s="1515"/>
      <c r="BB211" s="1515"/>
      <c r="BC211" s="1515"/>
      <c r="BD211" s="1515"/>
      <c r="BE211" s="1515"/>
      <c r="BF211" s="1515"/>
      <c r="BG211" s="1515"/>
      <c r="BH211" s="1515"/>
      <c r="BI211" s="1515"/>
      <c r="BJ211" s="1515"/>
      <c r="BK211" s="1516"/>
      <c r="BL211" s="506">
        <v>2</v>
      </c>
      <c r="BM211" s="431"/>
      <c r="BN211" s="1157">
        <f>IF(INDEX('装備'!$C$59:$C$121,CX211)=0,"",CONCATENATE(INDEX('装備'!$C$59:$C$121,CX211),IF(INDEX('装備'!$K$59:$K$121,CX211)=0,"",CONCATENATE(" (",INDEX('装備'!$K$59:$K$121,CX211),"チャージ)")),IF(INDEX('装備'!$L$59:$L$121,CX211)=0,"",CONCATENATE(" (難易度",INDEX('装備'!$L$59:$L$121,CX211),")")),IF(INDEX('装備'!$D$59:$D$121,CX211)&lt;=1,"",CONCATENATE(" x",INDEX('装備'!$D$59:$D$121,CX211)))))</f>
      </c>
      <c r="BO211" s="1158"/>
      <c r="BP211" s="1158"/>
      <c r="BQ211" s="1158"/>
      <c r="BR211" s="1158"/>
      <c r="BS211" s="1158"/>
      <c r="BT211" s="1158"/>
      <c r="BU211" s="1158"/>
      <c r="BV211" s="1158"/>
      <c r="BW211" s="1158"/>
      <c r="BX211" s="1158"/>
      <c r="BY211" s="1158"/>
      <c r="BZ211" s="1158"/>
      <c r="CA211" s="1158"/>
      <c r="CB211" s="1158"/>
      <c r="CC211" s="1158"/>
      <c r="CD211" s="1158"/>
      <c r="CE211" s="1158"/>
      <c r="CF211" s="1158"/>
      <c r="CG211" s="1158"/>
      <c r="CH211" s="1158"/>
      <c r="CI211" s="1158"/>
      <c r="CJ211" s="1158"/>
      <c r="CK211" s="1158"/>
      <c r="CL211" s="1158"/>
      <c r="CM211" s="1158"/>
      <c r="CN211" s="1158"/>
      <c r="CO211" s="1158"/>
      <c r="CP211" s="1192">
        <f>IF(INDEX('装備'!$D$59:$D$121,CX211)=0,"",INDEX('装備'!$D$59:$D$121,CX211))</f>
      </c>
      <c r="CQ211" s="1192"/>
      <c r="CR211" s="1192">
        <f>IF(INDEX('装備'!$I$59:$I$121,CX211)=0,"",INDEX('装備'!$I$59:$I$121,CX211))</f>
      </c>
      <c r="CS211" s="1192"/>
      <c r="CT211" s="1192">
        <f>IF(INDEX('装備'!$J$59:$J$121,CX211)=0,"",INDEX('装備'!$J$59:$J$121,CX211))</f>
      </c>
      <c r="CU211" s="1192"/>
      <c r="CV211" s="1192">
        <f>IF(INDEX('装備'!$F$59:$F$121,CX211)=0,"",INDEX('装備'!$F$59:$F$121,CX211))</f>
      </c>
      <c r="CW211" s="1193"/>
      <c r="CX211" s="1195">
        <v>31</v>
      </c>
      <c r="CY211" s="1196"/>
    </row>
    <row r="212" spans="1:103" ht="21" customHeight="1">
      <c r="A212" s="1799"/>
      <c r="B212" s="1800"/>
      <c r="C212" s="1800"/>
      <c r="D212" s="1800"/>
      <c r="E212" s="1800"/>
      <c r="F212" s="1800"/>
      <c r="G212" s="1800"/>
      <c r="H212" s="1800"/>
      <c r="I212" s="1800"/>
      <c r="J212" s="1800"/>
      <c r="K212" s="1800"/>
      <c r="L212" s="1800"/>
      <c r="M212" s="1800"/>
      <c r="N212" s="1800"/>
      <c r="O212" s="1800"/>
      <c r="P212" s="1800"/>
      <c r="Q212" s="1800"/>
      <c r="R212" s="1800"/>
      <c r="S212" s="1800"/>
      <c r="T212" s="1800"/>
      <c r="U212" s="1800"/>
      <c r="V212" s="1800"/>
      <c r="W212" s="1800"/>
      <c r="X212" s="1800"/>
      <c r="Y212" s="1800"/>
      <c r="Z212" s="1800"/>
      <c r="AA212" s="1800"/>
      <c r="AB212" s="1800"/>
      <c r="AC212" s="1800"/>
      <c r="AD212" s="1800"/>
      <c r="AE212" s="1800"/>
      <c r="AF212" s="1800"/>
      <c r="AG212" s="1800"/>
      <c r="AH212" s="1801"/>
      <c r="AI212" s="503"/>
      <c r="AJ212" s="503"/>
      <c r="AK212" s="1514">
        <f>IF('能力'!AW79=0,"","［"&amp;'能力'!AW79&amp;"］  ")&amp;IF('能力'!AZ79=0,"",'能力'!AZ79)</f>
      </c>
      <c r="AL212" s="1515"/>
      <c r="AM212" s="1515"/>
      <c r="AN212" s="1515"/>
      <c r="AO212" s="1515"/>
      <c r="AP212" s="1515"/>
      <c r="AQ212" s="1515"/>
      <c r="AR212" s="1515"/>
      <c r="AS212" s="1515"/>
      <c r="AT212" s="1515"/>
      <c r="AU212" s="1515"/>
      <c r="AV212" s="1515"/>
      <c r="AW212" s="1515"/>
      <c r="AX212" s="1515"/>
      <c r="AY212" s="1515"/>
      <c r="AZ212" s="1515"/>
      <c r="BA212" s="1515"/>
      <c r="BB212" s="1515"/>
      <c r="BC212" s="1515"/>
      <c r="BD212" s="1515"/>
      <c r="BE212" s="1515"/>
      <c r="BF212" s="1515"/>
      <c r="BG212" s="1515"/>
      <c r="BH212" s="1515"/>
      <c r="BI212" s="1515"/>
      <c r="BJ212" s="1515"/>
      <c r="BK212" s="1516"/>
      <c r="BL212" s="506">
        <v>3</v>
      </c>
      <c r="BM212" s="431"/>
      <c r="BN212" s="1157">
        <f>IF(INDEX('装備'!$C$59:$C$121,CX212)=0,"",CONCATENATE(INDEX('装備'!$C$59:$C$121,CX212),IF(INDEX('装備'!$K$59:$K$121,CX212)=0,"",CONCATENATE(" (",INDEX('装備'!$K$59:$K$121,CX212),"チャージ)")),IF(INDEX('装備'!$L$59:$L$121,CX212)=0,"",CONCATENATE(" (難易度",INDEX('装備'!$L$59:$L$121,CX212),")")),IF(INDEX('装備'!$D$59:$D$121,CX212)&lt;=1,"",CONCATENATE(" x",INDEX('装備'!$D$59:$D$121,CX212)))))</f>
      </c>
      <c r="BO212" s="1158"/>
      <c r="BP212" s="1158"/>
      <c r="BQ212" s="1158"/>
      <c r="BR212" s="1158"/>
      <c r="BS212" s="1158"/>
      <c r="BT212" s="1158"/>
      <c r="BU212" s="1158"/>
      <c r="BV212" s="1158"/>
      <c r="BW212" s="1158"/>
      <c r="BX212" s="1158"/>
      <c r="BY212" s="1158"/>
      <c r="BZ212" s="1158"/>
      <c r="CA212" s="1158"/>
      <c r="CB212" s="1158"/>
      <c r="CC212" s="1158"/>
      <c r="CD212" s="1158"/>
      <c r="CE212" s="1158"/>
      <c r="CF212" s="1158"/>
      <c r="CG212" s="1158"/>
      <c r="CH212" s="1158"/>
      <c r="CI212" s="1158"/>
      <c r="CJ212" s="1158"/>
      <c r="CK212" s="1158"/>
      <c r="CL212" s="1158"/>
      <c r="CM212" s="1158"/>
      <c r="CN212" s="1158"/>
      <c r="CO212" s="1158"/>
      <c r="CP212" s="1192">
        <f>IF(INDEX('装備'!$D$59:$D$121,CX212)=0,"",INDEX('装備'!$D$59:$D$121,CX212))</f>
      </c>
      <c r="CQ212" s="1192"/>
      <c r="CR212" s="1192">
        <f>IF(INDEX('装備'!$I$59:$I$121,CX212)=0,"",INDEX('装備'!$I$59:$I$121,CX212))</f>
      </c>
      <c r="CS212" s="1192"/>
      <c r="CT212" s="1192">
        <f>IF(INDEX('装備'!$J$59:$J$121,CX212)=0,"",INDEX('装備'!$J$59:$J$121,CX212))</f>
      </c>
      <c r="CU212" s="1192"/>
      <c r="CV212" s="1192">
        <f>IF(INDEX('装備'!$F$59:$F$121,CX212)=0,"",INDEX('装備'!$F$59:$F$121,CX212))</f>
      </c>
      <c r="CW212" s="1193"/>
      <c r="CX212" s="1195">
        <v>32</v>
      </c>
      <c r="CY212" s="1196"/>
    </row>
    <row r="213" spans="1:103" ht="21" customHeight="1">
      <c r="A213" s="507"/>
      <c r="B213" s="508"/>
      <c r="C213" s="508"/>
      <c r="D213" s="508"/>
      <c r="E213" s="508"/>
      <c r="F213" s="508"/>
      <c r="G213" s="508"/>
      <c r="H213" s="508"/>
      <c r="I213" s="508"/>
      <c r="J213" s="508"/>
      <c r="K213" s="508"/>
      <c r="L213" s="508"/>
      <c r="M213" s="508"/>
      <c r="N213" s="508"/>
      <c r="O213" s="508"/>
      <c r="P213" s="508"/>
      <c r="Q213" s="508"/>
      <c r="R213" s="508"/>
      <c r="S213" s="508"/>
      <c r="T213" s="508"/>
      <c r="U213" s="508"/>
      <c r="V213" s="508"/>
      <c r="W213" s="508"/>
      <c r="X213" s="508"/>
      <c r="Y213" s="508"/>
      <c r="Z213" s="508"/>
      <c r="AA213" s="508"/>
      <c r="AB213" s="508"/>
      <c r="AC213" s="508"/>
      <c r="AD213" s="508"/>
      <c r="AE213" s="508"/>
      <c r="AF213" s="508"/>
      <c r="AG213" s="508"/>
      <c r="AH213" s="508"/>
      <c r="AI213" s="503"/>
      <c r="AJ213" s="503"/>
      <c r="AK213" s="503"/>
      <c r="AL213" s="503"/>
      <c r="AM213" s="503"/>
      <c r="AN213" s="503"/>
      <c r="AO213" s="503"/>
      <c r="AP213" s="503"/>
      <c r="AQ213" s="503"/>
      <c r="AR213" s="503"/>
      <c r="AS213" s="503"/>
      <c r="AT213" s="503"/>
      <c r="AU213" s="503"/>
      <c r="AV213" s="503"/>
      <c r="AW213" s="503"/>
      <c r="AX213" s="503"/>
      <c r="AY213" s="503"/>
      <c r="AZ213" s="503"/>
      <c r="BA213" s="503"/>
      <c r="BB213" s="503"/>
      <c r="BC213" s="503"/>
      <c r="BD213" s="503"/>
      <c r="BE213" s="503"/>
      <c r="BF213" s="503"/>
      <c r="BG213" s="503"/>
      <c r="BH213" s="503"/>
      <c r="BI213" s="503"/>
      <c r="BJ213" s="503"/>
      <c r="BK213" s="503"/>
      <c r="BL213" s="466">
        <v>4</v>
      </c>
      <c r="BM213" s="431"/>
      <c r="BN213" s="1157">
        <f>IF(INDEX('装備'!$C$59:$C$121,CX213)=0,"",CONCATENATE(INDEX('装備'!$C$59:$C$121,CX213),IF(INDEX('装備'!$K$59:$K$121,CX213)=0,"",CONCATENATE(" (",INDEX('装備'!$K$59:$K$121,CX213),"チャージ)")),IF(INDEX('装備'!$L$59:$L$121,CX213)=0,"",CONCATENATE(" (難易度",INDEX('装備'!$L$59:$L$121,CX213),")")),IF(INDEX('装備'!$D$59:$D$121,CX213)&lt;=1,"",CONCATENATE(" x",INDEX('装備'!$D$59:$D$121,CX213)))))</f>
      </c>
      <c r="BO213" s="1158"/>
      <c r="BP213" s="1158"/>
      <c r="BQ213" s="1158"/>
      <c r="BR213" s="1158"/>
      <c r="BS213" s="1158"/>
      <c r="BT213" s="1158"/>
      <c r="BU213" s="1158"/>
      <c r="BV213" s="1158"/>
      <c r="BW213" s="1158"/>
      <c r="BX213" s="1158"/>
      <c r="BY213" s="1158"/>
      <c r="BZ213" s="1158"/>
      <c r="CA213" s="1158"/>
      <c r="CB213" s="1158"/>
      <c r="CC213" s="1158"/>
      <c r="CD213" s="1158"/>
      <c r="CE213" s="1158"/>
      <c r="CF213" s="1158"/>
      <c r="CG213" s="1158"/>
      <c r="CH213" s="1158"/>
      <c r="CI213" s="1158"/>
      <c r="CJ213" s="1158"/>
      <c r="CK213" s="1158"/>
      <c r="CL213" s="1158"/>
      <c r="CM213" s="1158"/>
      <c r="CN213" s="1158"/>
      <c r="CO213" s="1158"/>
      <c r="CP213" s="1192">
        <f>IF(INDEX('装備'!$D$59:$D$121,CX213)=0,"",INDEX('装備'!$D$59:$D$121,CX213))</f>
      </c>
      <c r="CQ213" s="1192"/>
      <c r="CR213" s="1192">
        <f>IF(INDEX('装備'!$I$59:$I$121,CX213)=0,"",INDEX('装備'!$I$59:$I$121,CX213))</f>
      </c>
      <c r="CS213" s="1192"/>
      <c r="CT213" s="1192">
        <f>IF(INDEX('装備'!$J$59:$J$121,CX213)=0,"",INDEX('装備'!$J$59:$J$121,CX213))</f>
      </c>
      <c r="CU213" s="1192"/>
      <c r="CV213" s="1192">
        <f>IF(INDEX('装備'!$F$59:$F$121,CX213)=0,"",INDEX('装備'!$F$59:$F$121,CX213))</f>
      </c>
      <c r="CW213" s="1193"/>
      <c r="CX213" s="1195">
        <v>33</v>
      </c>
      <c r="CY213" s="1199"/>
    </row>
    <row r="214" spans="1:103" ht="21" customHeight="1">
      <c r="A214" s="1691" t="s">
        <v>886</v>
      </c>
      <c r="B214" s="1792"/>
      <c r="C214" s="1792"/>
      <c r="D214" s="1792"/>
      <c r="E214" s="1792"/>
      <c r="F214" s="1792"/>
      <c r="G214" s="1792"/>
      <c r="H214" s="1792"/>
      <c r="I214" s="1792"/>
      <c r="J214" s="1792"/>
      <c r="K214" s="1792"/>
      <c r="L214" s="1792"/>
      <c r="M214" s="1792"/>
      <c r="N214" s="1792"/>
      <c r="O214" s="1792"/>
      <c r="P214" s="1792"/>
      <c r="Q214" s="1792"/>
      <c r="R214" s="1792"/>
      <c r="S214" s="1792"/>
      <c r="T214" s="1792"/>
      <c r="U214" s="1792"/>
      <c r="V214" s="1792"/>
      <c r="W214" s="1792"/>
      <c r="X214" s="1792"/>
      <c r="Y214" s="1792"/>
      <c r="Z214" s="1792"/>
      <c r="AA214" s="1792"/>
      <c r="AB214" s="1792"/>
      <c r="AC214" s="1792"/>
      <c r="AD214" s="1792"/>
      <c r="AE214" s="1792"/>
      <c r="AF214" s="1792"/>
      <c r="AG214" s="1792"/>
      <c r="AH214" s="1792"/>
      <c r="AI214" s="1792"/>
      <c r="AJ214" s="1792"/>
      <c r="AK214" s="1792"/>
      <c r="AL214" s="1792"/>
      <c r="AM214" s="1792"/>
      <c r="AN214" s="1792"/>
      <c r="AO214" s="1792"/>
      <c r="AP214" s="1792"/>
      <c r="AQ214" s="1792"/>
      <c r="AR214" s="1792"/>
      <c r="AS214" s="1792"/>
      <c r="AT214" s="1792"/>
      <c r="AU214" s="1792"/>
      <c r="AV214" s="1792"/>
      <c r="AW214" s="1792"/>
      <c r="AX214" s="1792"/>
      <c r="AY214" s="1792"/>
      <c r="AZ214" s="1792"/>
      <c r="BA214" s="1792"/>
      <c r="BB214" s="1792"/>
      <c r="BC214" s="1792"/>
      <c r="BD214" s="1792"/>
      <c r="BE214" s="1792"/>
      <c r="BF214" s="1792"/>
      <c r="BG214" s="1792"/>
      <c r="BH214" s="1792"/>
      <c r="BI214" s="1792"/>
      <c r="BJ214" s="1792"/>
      <c r="BK214" s="1792"/>
      <c r="BL214" s="466">
        <v>5</v>
      </c>
      <c r="BM214" s="431"/>
      <c r="BN214" s="1157">
        <f>IF(INDEX('装備'!$C$59:$C$121,CX214)=0,"",CONCATENATE(INDEX('装備'!$C$59:$C$121,CX214),IF(INDEX('装備'!$K$59:$K$121,CX214)=0,"",CONCATENATE(" (",INDEX('装備'!$K$59:$K$121,CX214),"チャージ)")),IF(INDEX('装備'!$L$59:$L$121,CX214)=0,"",CONCATENATE(" (難易度",INDEX('装備'!$L$59:$L$121,CX214),")")),IF(INDEX('装備'!$D$59:$D$121,CX214)&lt;=1,"",CONCATENATE(" x",INDEX('装備'!$D$59:$D$121,CX214)))))</f>
      </c>
      <c r="BO214" s="1158"/>
      <c r="BP214" s="1158"/>
      <c r="BQ214" s="1158"/>
      <c r="BR214" s="1158"/>
      <c r="BS214" s="1158"/>
      <c r="BT214" s="1158"/>
      <c r="BU214" s="1158"/>
      <c r="BV214" s="1158"/>
      <c r="BW214" s="1158"/>
      <c r="BX214" s="1158"/>
      <c r="BY214" s="1158"/>
      <c r="BZ214" s="1158"/>
      <c r="CA214" s="1158"/>
      <c r="CB214" s="1158"/>
      <c r="CC214" s="1158"/>
      <c r="CD214" s="1158"/>
      <c r="CE214" s="1158"/>
      <c r="CF214" s="1158"/>
      <c r="CG214" s="1158"/>
      <c r="CH214" s="1158"/>
      <c r="CI214" s="1158"/>
      <c r="CJ214" s="1158"/>
      <c r="CK214" s="1158"/>
      <c r="CL214" s="1158"/>
      <c r="CM214" s="1158"/>
      <c r="CN214" s="1158"/>
      <c r="CO214" s="1158"/>
      <c r="CP214" s="1192">
        <f>IF(INDEX('装備'!$D$59:$D$121,CX214)=0,"",INDEX('装備'!$D$59:$D$121,CX214))</f>
      </c>
      <c r="CQ214" s="1192"/>
      <c r="CR214" s="1192">
        <f>IF(INDEX('装備'!$I$59:$I$121,CX214)=0,"",INDEX('装備'!$I$59:$I$121,CX214))</f>
      </c>
      <c r="CS214" s="1192"/>
      <c r="CT214" s="1192">
        <f>IF(INDEX('装備'!$J$59:$J$121,CX214)=0,"",INDEX('装備'!$J$59:$J$121,CX214))</f>
      </c>
      <c r="CU214" s="1192"/>
      <c r="CV214" s="1192">
        <f>IF(INDEX('装備'!$F$59:$F$121,CX214)=0,"",INDEX('装備'!$F$59:$F$121,CX214))</f>
      </c>
      <c r="CW214" s="1193"/>
      <c r="CX214" s="1195">
        <v>34</v>
      </c>
      <c r="CY214" s="1199"/>
    </row>
    <row r="215" spans="1:103" ht="21" customHeight="1">
      <c r="A215" s="1826" t="s">
        <v>754</v>
      </c>
      <c r="B215" s="1827"/>
      <c r="C215" s="1827"/>
      <c r="D215" s="1827"/>
      <c r="E215" s="1827"/>
      <c r="F215" s="1827"/>
      <c r="G215" s="1827"/>
      <c r="H215" s="1827"/>
      <c r="I215" s="1827"/>
      <c r="J215" s="1827"/>
      <c r="K215" s="1827"/>
      <c r="L215" s="1827"/>
      <c r="M215" s="1827"/>
      <c r="N215" s="1827"/>
      <c r="O215" s="1827"/>
      <c r="P215" s="1827"/>
      <c r="Q215" s="1827"/>
      <c r="R215" s="1827"/>
      <c r="S215" s="1827"/>
      <c r="T215" s="1827"/>
      <c r="U215" s="1827"/>
      <c r="V215" s="1827"/>
      <c r="W215" s="1827"/>
      <c r="X215" s="1827"/>
      <c r="Y215" s="1827"/>
      <c r="Z215" s="1827"/>
      <c r="AA215" s="1827"/>
      <c r="AB215" s="1827"/>
      <c r="AC215" s="1827"/>
      <c r="AD215" s="1817" t="s">
        <v>720</v>
      </c>
      <c r="AE215" s="1818"/>
      <c r="AF215" s="1819"/>
      <c r="AG215" s="1826" t="s">
        <v>755</v>
      </c>
      <c r="AH215" s="1827"/>
      <c r="AI215" s="1827"/>
      <c r="AJ215" s="1827"/>
      <c r="AK215" s="1827"/>
      <c r="AL215" s="1827"/>
      <c r="AM215" s="1827"/>
      <c r="AN215" s="1827"/>
      <c r="AO215" s="1827"/>
      <c r="AP215" s="1827"/>
      <c r="AQ215" s="1827"/>
      <c r="AR215" s="1827"/>
      <c r="AS215" s="1827"/>
      <c r="AT215" s="1827"/>
      <c r="AU215" s="1827"/>
      <c r="AV215" s="1827"/>
      <c r="AW215" s="1827"/>
      <c r="AX215" s="1827"/>
      <c r="AY215" s="1827"/>
      <c r="AZ215" s="1827"/>
      <c r="BA215" s="1827"/>
      <c r="BB215" s="1827"/>
      <c r="BC215" s="1837" t="s">
        <v>721</v>
      </c>
      <c r="BD215" s="1837"/>
      <c r="BE215" s="1837" t="s">
        <v>722</v>
      </c>
      <c r="BF215" s="1837"/>
      <c r="BG215" s="1873" t="s">
        <v>723</v>
      </c>
      <c r="BH215" s="1837"/>
      <c r="BI215" s="1872" t="s">
        <v>720</v>
      </c>
      <c r="BJ215" s="1818"/>
      <c r="BK215" s="1819"/>
      <c r="BL215" s="466">
        <v>6</v>
      </c>
      <c r="BM215" s="431"/>
      <c r="BN215" s="1157">
        <f>IF(INDEX('装備'!$C$59:$C$121,CX215)=0,"",CONCATENATE(INDEX('装備'!$C$59:$C$121,CX215),IF(INDEX('装備'!$K$59:$K$121,CX215)=0,"",CONCATENATE(" (",INDEX('装備'!$K$59:$K$121,CX215),"チャージ)")),IF(INDEX('装備'!$L$59:$L$121,CX215)=0,"",CONCATENATE(" (難易度",INDEX('装備'!$L$59:$L$121,CX215),")")),IF(INDEX('装備'!$D$59:$D$121,CX215)&lt;=1,"",CONCATENATE(" x",INDEX('装備'!$D$59:$D$121,CX215)))))</f>
      </c>
      <c r="BO215" s="1158"/>
      <c r="BP215" s="1158"/>
      <c r="BQ215" s="1158"/>
      <c r="BR215" s="1158"/>
      <c r="BS215" s="1158"/>
      <c r="BT215" s="1158"/>
      <c r="BU215" s="1158"/>
      <c r="BV215" s="1158"/>
      <c r="BW215" s="1158"/>
      <c r="BX215" s="1158"/>
      <c r="BY215" s="1158"/>
      <c r="BZ215" s="1158"/>
      <c r="CA215" s="1158"/>
      <c r="CB215" s="1158"/>
      <c r="CC215" s="1158"/>
      <c r="CD215" s="1158"/>
      <c r="CE215" s="1158"/>
      <c r="CF215" s="1158"/>
      <c r="CG215" s="1158"/>
      <c r="CH215" s="1158"/>
      <c r="CI215" s="1158"/>
      <c r="CJ215" s="1158"/>
      <c r="CK215" s="1158"/>
      <c r="CL215" s="1158"/>
      <c r="CM215" s="1158"/>
      <c r="CN215" s="1158"/>
      <c r="CO215" s="1158"/>
      <c r="CP215" s="1192">
        <f>IF(INDEX('装備'!$D$59:$D$121,CX215)=0,"",INDEX('装備'!$D$59:$D$121,CX215))</f>
      </c>
      <c r="CQ215" s="1192"/>
      <c r="CR215" s="1192">
        <f>IF(INDEX('装備'!$I$59:$I$121,CX215)=0,"",INDEX('装備'!$I$59:$I$121,CX215))</f>
      </c>
      <c r="CS215" s="1192"/>
      <c r="CT215" s="1192">
        <f>IF(INDEX('装備'!$J$59:$J$121,CX215)=0,"",INDEX('装備'!$J$59:$J$121,CX215))</f>
      </c>
      <c r="CU215" s="1192"/>
      <c r="CV215" s="1192">
        <f>IF(INDEX('装備'!$F$59:$F$121,CX215)=0,"",INDEX('装備'!$F$59:$F$121,CX215))</f>
      </c>
      <c r="CW215" s="1193"/>
      <c r="CX215" s="1195">
        <v>35</v>
      </c>
      <c r="CY215" s="1199"/>
    </row>
    <row r="216" spans="1:103" ht="21" customHeight="1">
      <c r="A216" s="1232" t="str">
        <f>IF(INDEX('装備'!$C$19:$C$28,BL210)=0,"",INDEX('装備'!$C$19:$C$28,BL210))</f>
        <v>Adamantine Halbard +2</v>
      </c>
      <c r="B216" s="1233"/>
      <c r="C216" s="1233"/>
      <c r="D216" s="1233"/>
      <c r="E216" s="1233"/>
      <c r="F216" s="1233"/>
      <c r="G216" s="1233"/>
      <c r="H216" s="1233"/>
      <c r="I216" s="1233"/>
      <c r="J216" s="1233"/>
      <c r="K216" s="1233"/>
      <c r="L216" s="1233"/>
      <c r="M216" s="1233"/>
      <c r="N216" s="1233"/>
      <c r="O216" s="1233"/>
      <c r="P216" s="1233"/>
      <c r="Q216" s="1233"/>
      <c r="R216" s="1233"/>
      <c r="S216" s="1233"/>
      <c r="T216" s="1233"/>
      <c r="U216" s="1233"/>
      <c r="V216" s="1233"/>
      <c r="W216" s="1233"/>
      <c r="X216" s="1233"/>
      <c r="Y216" s="1233"/>
      <c r="Z216" s="1233"/>
      <c r="AA216" s="1233"/>
      <c r="AB216" s="1233"/>
      <c r="AC216" s="1233"/>
      <c r="AD216" s="1225">
        <f>IF(INDEX('装備'!$F$19:$F$28,BL210)=0,"",INDEX('装備'!$F$19:$F$28,BL210))</f>
      </c>
      <c r="AE216" s="1225"/>
      <c r="AF216" s="1642"/>
      <c r="AG216" s="1643" t="s">
        <v>743</v>
      </c>
      <c r="AH216" s="1644"/>
      <c r="AI216" s="1644"/>
      <c r="AJ216" s="1644"/>
      <c r="AK216" s="1644"/>
      <c r="AL216" s="1644"/>
      <c r="AM216" s="1644"/>
      <c r="AN216" s="1648"/>
      <c r="AO216" s="1213">
        <f>IF('装備'!C31=0,"",'装備'!C31)</f>
      </c>
      <c r="AP216" s="1214"/>
      <c r="AQ216" s="1214"/>
      <c r="AR216" s="1214"/>
      <c r="AS216" s="1214"/>
      <c r="AT216" s="1214"/>
      <c r="AU216" s="1214"/>
      <c r="AV216" s="1214"/>
      <c r="AW216" s="1214"/>
      <c r="AX216" s="1214"/>
      <c r="AY216" s="1214"/>
      <c r="AZ216" s="1214"/>
      <c r="BA216" s="1214"/>
      <c r="BB216" s="1215"/>
      <c r="BC216" s="1225">
        <f>IF('装備'!I31=0,"",'装備'!I31)</f>
      </c>
      <c r="BD216" s="1225"/>
      <c r="BE216" s="1225">
        <f>IF('装備'!J31=0,"",'装備'!J31)</f>
      </c>
      <c r="BF216" s="1225"/>
      <c r="BG216" s="1225">
        <f>IF('装備'!K31=0,"",'装備'!K31)</f>
      </c>
      <c r="BH216" s="1225"/>
      <c r="BI216" s="1226">
        <f>IF('装備'!E31=0,"",'装備'!E31)</f>
      </c>
      <c r="BJ216" s="1209"/>
      <c r="BK216" s="1210"/>
      <c r="BL216" s="466"/>
      <c r="BM216" s="431"/>
      <c r="BN216" s="1157">
        <f>IF(INDEX('装備'!$C$59:$C$121,CX216)=0,"",CONCATENATE(INDEX('装備'!$C$59:$C$121,CX216),IF(INDEX('装備'!$K$59:$K$121,CX216)=0,"",CONCATENATE(" (",INDEX('装備'!$K$59:$K$121,CX216),"チャージ)")),IF(INDEX('装備'!$L$59:$L$121,CX216)=0,"",CONCATENATE(" (難易度",INDEX('装備'!$L$59:$L$121,CX216),")")),IF(INDEX('装備'!$D$59:$D$121,CX216)&lt;=1,"",CONCATENATE(" x",INDEX('装備'!$D$59:$D$121,CX216)))))</f>
      </c>
      <c r="BO216" s="1158"/>
      <c r="BP216" s="1158"/>
      <c r="BQ216" s="1158"/>
      <c r="BR216" s="1158"/>
      <c r="BS216" s="1158"/>
      <c r="BT216" s="1158"/>
      <c r="BU216" s="1158"/>
      <c r="BV216" s="1158"/>
      <c r="BW216" s="1158"/>
      <c r="BX216" s="1158"/>
      <c r="BY216" s="1158"/>
      <c r="BZ216" s="1158"/>
      <c r="CA216" s="1158"/>
      <c r="CB216" s="1158"/>
      <c r="CC216" s="1158"/>
      <c r="CD216" s="1158"/>
      <c r="CE216" s="1158"/>
      <c r="CF216" s="1158"/>
      <c r="CG216" s="1158"/>
      <c r="CH216" s="1158"/>
      <c r="CI216" s="1158"/>
      <c r="CJ216" s="1158"/>
      <c r="CK216" s="1158"/>
      <c r="CL216" s="1158"/>
      <c r="CM216" s="1158"/>
      <c r="CN216" s="1158"/>
      <c r="CO216" s="1158"/>
      <c r="CP216" s="1192">
        <f>IF(INDEX('装備'!$D$59:$D$121,CX216)=0,"",INDEX('装備'!$D$59:$D$121,CX216))</f>
      </c>
      <c r="CQ216" s="1192"/>
      <c r="CR216" s="1192">
        <f>IF(INDEX('装備'!$I$59:$I$121,CX216)=0,"",INDEX('装備'!$I$59:$I$121,CX216))</f>
      </c>
      <c r="CS216" s="1192"/>
      <c r="CT216" s="1192">
        <f>IF(INDEX('装備'!$J$59:$J$121,CX216)=0,"",INDEX('装備'!$J$59:$J$121,CX216))</f>
      </c>
      <c r="CU216" s="1192"/>
      <c r="CV216" s="1192">
        <f>IF(INDEX('装備'!$F$59:$F$121,CX216)=0,"",INDEX('装備'!$F$59:$F$121,CX216))</f>
      </c>
      <c r="CW216" s="1193"/>
      <c r="CX216" s="1195">
        <v>36</v>
      </c>
      <c r="CY216" s="1199"/>
    </row>
    <row r="217" spans="1:103" ht="21" customHeight="1">
      <c r="A217" s="1232">
        <f>IF(INDEX('装備'!$C$19:$C$28,BL211)=0,"",INDEX('装備'!$C$19:$C$28,BL211))</f>
      </c>
      <c r="B217" s="1233"/>
      <c r="C217" s="1233"/>
      <c r="D217" s="1233"/>
      <c r="E217" s="1233"/>
      <c r="F217" s="1233"/>
      <c r="G217" s="1233"/>
      <c r="H217" s="1233"/>
      <c r="I217" s="1233"/>
      <c r="J217" s="1233"/>
      <c r="K217" s="1233"/>
      <c r="L217" s="1233"/>
      <c r="M217" s="1233"/>
      <c r="N217" s="1233"/>
      <c r="O217" s="1233"/>
      <c r="P217" s="1233"/>
      <c r="Q217" s="1233"/>
      <c r="R217" s="1233"/>
      <c r="S217" s="1233"/>
      <c r="T217" s="1233"/>
      <c r="U217" s="1233"/>
      <c r="V217" s="1233"/>
      <c r="W217" s="1233"/>
      <c r="X217" s="1233"/>
      <c r="Y217" s="1233"/>
      <c r="Z217" s="1233"/>
      <c r="AA217" s="1233"/>
      <c r="AB217" s="1233"/>
      <c r="AC217" s="1233"/>
      <c r="AD217" s="1225">
        <f>IF(INDEX('装備'!$F$19:$F$28,BL211)=0,"",INDEX('装備'!$F$19:$F$28,BL211))</f>
      </c>
      <c r="AE217" s="1225"/>
      <c r="AF217" s="1642"/>
      <c r="AG217" s="1643" t="s">
        <v>744</v>
      </c>
      <c r="AH217" s="1644"/>
      <c r="AI217" s="1644"/>
      <c r="AJ217" s="1644"/>
      <c r="AK217" s="1644"/>
      <c r="AL217" s="1644"/>
      <c r="AM217" s="1644"/>
      <c r="AN217" s="1648"/>
      <c r="AO217" s="1213">
        <f>IF('装備'!C32=0,"",'装備'!C32)</f>
      </c>
      <c r="AP217" s="1214"/>
      <c r="AQ217" s="1214"/>
      <c r="AR217" s="1214"/>
      <c r="AS217" s="1214"/>
      <c r="AT217" s="1214"/>
      <c r="AU217" s="1214"/>
      <c r="AV217" s="1214"/>
      <c r="AW217" s="1214"/>
      <c r="AX217" s="1214"/>
      <c r="AY217" s="1214"/>
      <c r="AZ217" s="1214"/>
      <c r="BA217" s="1214"/>
      <c r="BB217" s="1215"/>
      <c r="BC217" s="1225">
        <f>IF('装備'!I32=0,"",'装備'!I32)</f>
      </c>
      <c r="BD217" s="1225"/>
      <c r="BE217" s="1225">
        <f>IF('装備'!J32=0,"",'装備'!J32)</f>
      </c>
      <c r="BF217" s="1225"/>
      <c r="BG217" s="1225">
        <f>IF('装備'!K32=0,"",'装備'!K32)</f>
      </c>
      <c r="BH217" s="1225"/>
      <c r="BI217" s="1226">
        <f>IF('装備'!E32=0,"",'装備'!E32)</f>
      </c>
      <c r="BJ217" s="1209"/>
      <c r="BK217" s="1210"/>
      <c r="BL217" s="466">
        <v>7</v>
      </c>
      <c r="BM217" s="431"/>
      <c r="BN217" s="1157">
        <f>IF(INDEX('装備'!$C$59:$C$121,CX217)=0,"",CONCATENATE(INDEX('装備'!$C$59:$C$121,CX217),IF(INDEX('装備'!$K$59:$K$121,CX217)=0,"",CONCATENATE(" (",INDEX('装備'!$K$59:$K$121,CX217),"チャージ)")),IF(INDEX('装備'!$L$59:$L$121,CX217)=0,"",CONCATENATE(" (難易度",INDEX('装備'!$L$59:$L$121,CX217),")")),IF(INDEX('装備'!$D$59:$D$121,CX217)&lt;=1,"",CONCATENATE(" x",INDEX('装備'!$D$59:$D$121,CX217)))))</f>
      </c>
      <c r="BO217" s="1158"/>
      <c r="BP217" s="1158"/>
      <c r="BQ217" s="1158"/>
      <c r="BR217" s="1158"/>
      <c r="BS217" s="1158"/>
      <c r="BT217" s="1158"/>
      <c r="BU217" s="1158"/>
      <c r="BV217" s="1158"/>
      <c r="BW217" s="1158"/>
      <c r="BX217" s="1158"/>
      <c r="BY217" s="1158"/>
      <c r="BZ217" s="1158"/>
      <c r="CA217" s="1158"/>
      <c r="CB217" s="1158"/>
      <c r="CC217" s="1158"/>
      <c r="CD217" s="1158"/>
      <c r="CE217" s="1158"/>
      <c r="CF217" s="1158"/>
      <c r="CG217" s="1158"/>
      <c r="CH217" s="1158"/>
      <c r="CI217" s="1158"/>
      <c r="CJ217" s="1158"/>
      <c r="CK217" s="1158"/>
      <c r="CL217" s="1158"/>
      <c r="CM217" s="1158"/>
      <c r="CN217" s="1158"/>
      <c r="CO217" s="1158"/>
      <c r="CP217" s="1192">
        <f>IF(INDEX('装備'!$D$59:$D$121,CX217)=0,"",INDEX('装備'!$D$59:$D$121,CX217))</f>
      </c>
      <c r="CQ217" s="1192"/>
      <c r="CR217" s="1192">
        <f>IF(INDEX('装備'!$I$59:$I$121,CX217)=0,"",INDEX('装備'!$I$59:$I$121,CX217))</f>
      </c>
      <c r="CS217" s="1192"/>
      <c r="CT217" s="1192">
        <f>IF(INDEX('装備'!$J$59:$J$121,CX217)=0,"",INDEX('装備'!$J$59:$J$121,CX217))</f>
      </c>
      <c r="CU217" s="1192"/>
      <c r="CV217" s="1192">
        <f>IF(INDEX('装備'!$F$59:$F$121,CX217)=0,"",INDEX('装備'!$F$59:$F$121,CX217))</f>
      </c>
      <c r="CW217" s="1193"/>
      <c r="CX217" s="1195">
        <v>37</v>
      </c>
      <c r="CY217" s="1196"/>
    </row>
    <row r="218" spans="1:103" ht="21" customHeight="1">
      <c r="A218" s="1232" t="str">
        <f>IF(INDEX('装備'!$C$19:$C$28,BL212)=0,"",INDEX('装備'!$C$19:$C$28,BL212))</f>
        <v>Claw</v>
      </c>
      <c r="B218" s="1233"/>
      <c r="C218" s="1233"/>
      <c r="D218" s="1233"/>
      <c r="E218" s="1233"/>
      <c r="F218" s="1233"/>
      <c r="G218" s="1233"/>
      <c r="H218" s="1233"/>
      <c r="I218" s="1233"/>
      <c r="J218" s="1233"/>
      <c r="K218" s="1233"/>
      <c r="L218" s="1233"/>
      <c r="M218" s="1233"/>
      <c r="N218" s="1233"/>
      <c r="O218" s="1233"/>
      <c r="P218" s="1233"/>
      <c r="Q218" s="1233"/>
      <c r="R218" s="1233"/>
      <c r="S218" s="1233"/>
      <c r="T218" s="1233"/>
      <c r="U218" s="1233"/>
      <c r="V218" s="1233"/>
      <c r="W218" s="1233"/>
      <c r="X218" s="1233"/>
      <c r="Y218" s="1233"/>
      <c r="Z218" s="1233"/>
      <c r="AA218" s="1233"/>
      <c r="AB218" s="1233"/>
      <c r="AC218" s="1233"/>
      <c r="AD218" s="1225">
        <f>IF(INDEX('装備'!$F$19:$F$28,BL212)=0,"",INDEX('装備'!$F$19:$F$28,BL212))</f>
      </c>
      <c r="AE218" s="1225"/>
      <c r="AF218" s="1642"/>
      <c r="AG218" s="1643" t="s">
        <v>888</v>
      </c>
      <c r="AH218" s="1644"/>
      <c r="AI218" s="1644"/>
      <c r="AJ218" s="1644"/>
      <c r="AK218" s="1644"/>
      <c r="AL218" s="1644"/>
      <c r="AM218" s="1644"/>
      <c r="AN218" s="1648"/>
      <c r="AO218" s="1213" t="str">
        <f>IF('装備'!C33=0,"",'装備'!C33)</f>
        <v>Amulet of Natural Armor +3</v>
      </c>
      <c r="AP218" s="1214"/>
      <c r="AQ218" s="1214"/>
      <c r="AR218" s="1214"/>
      <c r="AS218" s="1214"/>
      <c r="AT218" s="1214"/>
      <c r="AU218" s="1214"/>
      <c r="AV218" s="1214"/>
      <c r="AW218" s="1214"/>
      <c r="AX218" s="1214"/>
      <c r="AY218" s="1214"/>
      <c r="AZ218" s="1214"/>
      <c r="BA218" s="1214"/>
      <c r="BB218" s="1215"/>
      <c r="BC218" s="1225">
        <f>IF('装備'!I33=0,"",'装備'!I33)</f>
      </c>
      <c r="BD218" s="1225"/>
      <c r="BE218" s="1225">
        <f>IF('装備'!J33=0,"",'装備'!J33)</f>
      </c>
      <c r="BF218" s="1225"/>
      <c r="BG218" s="1225">
        <f>IF('装備'!K33=0,"",'装備'!K33)</f>
      </c>
      <c r="BH218" s="1225"/>
      <c r="BI218" s="1226">
        <f>IF('装備'!E33=0,"",'装備'!E33)</f>
      </c>
      <c r="BJ218" s="1209"/>
      <c r="BK218" s="1210"/>
      <c r="BL218" s="466">
        <v>8</v>
      </c>
      <c r="BM218" s="431"/>
      <c r="BN218" s="1157">
        <f>IF(INDEX('装備'!$C$59:$C$121,CX218)=0,"",CONCATENATE(INDEX('装備'!$C$59:$C$121,CX218),IF(INDEX('装備'!$K$59:$K$121,CX218)=0,"",CONCATENATE(" (",INDEX('装備'!$K$59:$K$121,CX218),"チャージ)")),IF(INDEX('装備'!$L$59:$L$121,CX218)=0,"",CONCATENATE(" (難易度",INDEX('装備'!$L$59:$L$121,CX218),")")),IF(INDEX('装備'!$D$59:$D$121,CX218)&lt;=1,"",CONCATENATE(" x",INDEX('装備'!$D$59:$D$121,CX218)))))</f>
      </c>
      <c r="BO218" s="1158"/>
      <c r="BP218" s="1158"/>
      <c r="BQ218" s="1158"/>
      <c r="BR218" s="1158"/>
      <c r="BS218" s="1158"/>
      <c r="BT218" s="1158"/>
      <c r="BU218" s="1158"/>
      <c r="BV218" s="1158"/>
      <c r="BW218" s="1158"/>
      <c r="BX218" s="1158"/>
      <c r="BY218" s="1158"/>
      <c r="BZ218" s="1158"/>
      <c r="CA218" s="1158"/>
      <c r="CB218" s="1158"/>
      <c r="CC218" s="1158"/>
      <c r="CD218" s="1158"/>
      <c r="CE218" s="1158"/>
      <c r="CF218" s="1158"/>
      <c r="CG218" s="1158"/>
      <c r="CH218" s="1158"/>
      <c r="CI218" s="1158"/>
      <c r="CJ218" s="1158"/>
      <c r="CK218" s="1158"/>
      <c r="CL218" s="1158"/>
      <c r="CM218" s="1158"/>
      <c r="CN218" s="1158"/>
      <c r="CO218" s="1158"/>
      <c r="CP218" s="1192">
        <f>IF(INDEX('装備'!$D$59:$D$121,CX218)=0,"",INDEX('装備'!$D$59:$D$121,CX218))</f>
      </c>
      <c r="CQ218" s="1192"/>
      <c r="CR218" s="1192">
        <f>IF(INDEX('装備'!$I$59:$I$121,CX218)=0,"",INDEX('装備'!$I$59:$I$121,CX218))</f>
      </c>
      <c r="CS218" s="1192"/>
      <c r="CT218" s="1192">
        <f>IF(INDEX('装備'!$J$59:$J$121,CX218)=0,"",INDEX('装備'!$J$59:$J$121,CX218))</f>
      </c>
      <c r="CU218" s="1192"/>
      <c r="CV218" s="1192">
        <f>IF(INDEX('装備'!$F$59:$F$121,CX218)=0,"",INDEX('装備'!$F$59:$F$121,CX218))</f>
      </c>
      <c r="CW218" s="1193"/>
      <c r="CX218" s="1195">
        <v>38</v>
      </c>
      <c r="CY218" s="1196"/>
    </row>
    <row r="219" spans="1:103" ht="21" customHeight="1">
      <c r="A219" s="1232" t="str">
        <f>IF(INDEX('装備'!$C$19:$C$28,BL213)=0,"",INDEX('装備'!$C$19:$C$28,BL213))</f>
        <v>Bite</v>
      </c>
      <c r="B219" s="1233"/>
      <c r="C219" s="1233"/>
      <c r="D219" s="1233"/>
      <c r="E219" s="1233"/>
      <c r="F219" s="1233"/>
      <c r="G219" s="1233"/>
      <c r="H219" s="1233"/>
      <c r="I219" s="1233"/>
      <c r="J219" s="1233"/>
      <c r="K219" s="1233"/>
      <c r="L219" s="1233"/>
      <c r="M219" s="1233"/>
      <c r="N219" s="1233"/>
      <c r="O219" s="1233"/>
      <c r="P219" s="1233"/>
      <c r="Q219" s="1233"/>
      <c r="R219" s="1233"/>
      <c r="S219" s="1233"/>
      <c r="T219" s="1233"/>
      <c r="U219" s="1233"/>
      <c r="V219" s="1233"/>
      <c r="W219" s="1233"/>
      <c r="X219" s="1233"/>
      <c r="Y219" s="1233"/>
      <c r="Z219" s="1233"/>
      <c r="AA219" s="1233"/>
      <c r="AB219" s="1233"/>
      <c r="AC219" s="1233"/>
      <c r="AD219" s="1225">
        <f>IF(INDEX('装備'!$F$19:$F$28,BL213)=0,"",INDEX('装備'!$F$19:$F$28,BL213))</f>
      </c>
      <c r="AE219" s="1225"/>
      <c r="AF219" s="1642"/>
      <c r="AG219" s="1643" t="s">
        <v>745</v>
      </c>
      <c r="AH219" s="1644"/>
      <c r="AI219" s="1644"/>
      <c r="AJ219" s="1644"/>
      <c r="AK219" s="1644"/>
      <c r="AL219" s="1644"/>
      <c r="AM219" s="1644"/>
      <c r="AN219" s="1648"/>
      <c r="AO219" s="1213" t="str">
        <f>IF('装備'!C34=0,"",'装備'!C34)</f>
        <v>Cloak of Resistance +3</v>
      </c>
      <c r="AP219" s="1214"/>
      <c r="AQ219" s="1214"/>
      <c r="AR219" s="1214"/>
      <c r="AS219" s="1214"/>
      <c r="AT219" s="1214"/>
      <c r="AU219" s="1214"/>
      <c r="AV219" s="1214"/>
      <c r="AW219" s="1214"/>
      <c r="AX219" s="1214"/>
      <c r="AY219" s="1214"/>
      <c r="AZ219" s="1214"/>
      <c r="BA219" s="1214"/>
      <c r="BB219" s="1215"/>
      <c r="BC219" s="1225">
        <f>IF('装備'!I34=0,"",'装備'!I34)</f>
      </c>
      <c r="BD219" s="1225"/>
      <c r="BE219" s="1225">
        <f>IF('装備'!J34=0,"",'装備'!J34)</f>
      </c>
      <c r="BF219" s="1225"/>
      <c r="BG219" s="1225">
        <f>IF('装備'!K34=0,"",'装備'!K34)</f>
      </c>
      <c r="BH219" s="1225"/>
      <c r="BI219" s="1226">
        <f>IF('装備'!E34=0,"",'装備'!E34)</f>
      </c>
      <c r="BJ219" s="1209"/>
      <c r="BK219" s="1210"/>
      <c r="BL219" s="466">
        <v>9</v>
      </c>
      <c r="BM219" s="431"/>
      <c r="BN219" s="1157">
        <f>IF(INDEX('装備'!$C$59:$C$121,CX219)=0,"",CONCATENATE(INDEX('装備'!$C$59:$C$121,CX219),IF(INDEX('装備'!$K$59:$K$121,CX219)=0,"",CONCATENATE(" (",INDEX('装備'!$K$59:$K$121,CX219),"チャージ)")),IF(INDEX('装備'!$L$59:$L$121,CX219)=0,"",CONCATENATE(" (難易度",INDEX('装備'!$L$59:$L$121,CX219),")")),IF(INDEX('装備'!$D$59:$D$121,CX219)&lt;=1,"",CONCATENATE(" x",INDEX('装備'!$D$59:$D$121,CX219)))))</f>
      </c>
      <c r="BO219" s="1158"/>
      <c r="BP219" s="1158"/>
      <c r="BQ219" s="1158"/>
      <c r="BR219" s="1158"/>
      <c r="BS219" s="1158"/>
      <c r="BT219" s="1158"/>
      <c r="BU219" s="1158"/>
      <c r="BV219" s="1158"/>
      <c r="BW219" s="1158"/>
      <c r="BX219" s="1158"/>
      <c r="BY219" s="1158"/>
      <c r="BZ219" s="1158"/>
      <c r="CA219" s="1158"/>
      <c r="CB219" s="1158"/>
      <c r="CC219" s="1158"/>
      <c r="CD219" s="1158"/>
      <c r="CE219" s="1158"/>
      <c r="CF219" s="1158"/>
      <c r="CG219" s="1158"/>
      <c r="CH219" s="1158"/>
      <c r="CI219" s="1158"/>
      <c r="CJ219" s="1158"/>
      <c r="CK219" s="1158"/>
      <c r="CL219" s="1158"/>
      <c r="CM219" s="1158"/>
      <c r="CN219" s="1158"/>
      <c r="CO219" s="1158"/>
      <c r="CP219" s="1192">
        <f>IF(INDEX('装備'!$D$59:$D$121,CX219)=0,"",INDEX('装備'!$D$59:$D$121,CX219))</f>
      </c>
      <c r="CQ219" s="1192"/>
      <c r="CR219" s="1192">
        <f>IF(INDEX('装備'!$I$59:$I$121,CX219)=0,"",INDEX('装備'!$I$59:$I$121,CX219))</f>
      </c>
      <c r="CS219" s="1192"/>
      <c r="CT219" s="1192">
        <f>IF(INDEX('装備'!$J$59:$J$121,CX219)=0,"",INDEX('装備'!$J$59:$J$121,CX219))</f>
      </c>
      <c r="CU219" s="1192"/>
      <c r="CV219" s="1192">
        <f>IF(INDEX('装備'!$F$59:$F$121,CX219)=0,"",INDEX('装備'!$F$59:$F$121,CX219))</f>
      </c>
      <c r="CW219" s="1193"/>
      <c r="CX219" s="1195">
        <v>39</v>
      </c>
      <c r="CY219" s="1196"/>
    </row>
    <row r="220" spans="1:103" ht="21" customHeight="1">
      <c r="A220" s="1232">
        <f>IF(INDEX('装備'!$C$19:$C$28,BL214)=0,"",INDEX('装備'!$C$19:$C$28,BL214))</f>
      </c>
      <c r="B220" s="1233"/>
      <c r="C220" s="1233"/>
      <c r="D220" s="1233"/>
      <c r="E220" s="1233"/>
      <c r="F220" s="1233"/>
      <c r="G220" s="1233"/>
      <c r="H220" s="1233"/>
      <c r="I220" s="1233"/>
      <c r="J220" s="1233"/>
      <c r="K220" s="1233"/>
      <c r="L220" s="1233"/>
      <c r="M220" s="1233"/>
      <c r="N220" s="1233"/>
      <c r="O220" s="1233"/>
      <c r="P220" s="1233"/>
      <c r="Q220" s="1233"/>
      <c r="R220" s="1233"/>
      <c r="S220" s="1233"/>
      <c r="T220" s="1233"/>
      <c r="U220" s="1233"/>
      <c r="V220" s="1233"/>
      <c r="W220" s="1233"/>
      <c r="X220" s="1233"/>
      <c r="Y220" s="1233"/>
      <c r="Z220" s="1233"/>
      <c r="AA220" s="1233"/>
      <c r="AB220" s="1233"/>
      <c r="AC220" s="1233"/>
      <c r="AD220" s="1225">
        <f>IF(INDEX('装備'!$F$19:$F$28,BL214)=0,"",INDEX('装備'!$F$19:$F$28,BL214))</f>
      </c>
      <c r="AE220" s="1225"/>
      <c r="AF220" s="1642"/>
      <c r="AG220" s="1643" t="s">
        <v>746</v>
      </c>
      <c r="AH220" s="1644"/>
      <c r="AI220" s="1644"/>
      <c r="AJ220" s="1644"/>
      <c r="AK220" s="1644"/>
      <c r="AL220" s="1644"/>
      <c r="AM220" s="1644"/>
      <c r="AN220" s="1648"/>
      <c r="AO220" s="1213">
        <f>IF('装備'!C35=0,"",'装備'!C35)</f>
      </c>
      <c r="AP220" s="1214"/>
      <c r="AQ220" s="1214"/>
      <c r="AR220" s="1214"/>
      <c r="AS220" s="1214"/>
      <c r="AT220" s="1214"/>
      <c r="AU220" s="1214"/>
      <c r="AV220" s="1214"/>
      <c r="AW220" s="1214"/>
      <c r="AX220" s="1214"/>
      <c r="AY220" s="1214"/>
      <c r="AZ220" s="1214"/>
      <c r="BA220" s="1214"/>
      <c r="BB220" s="1215"/>
      <c r="BC220" s="1225">
        <f>IF('装備'!I35=0,"",'装備'!I35)</f>
      </c>
      <c r="BD220" s="1225"/>
      <c r="BE220" s="1225">
        <f>IF('装備'!J35=0,"",'装備'!J35)</f>
      </c>
      <c r="BF220" s="1225"/>
      <c r="BG220" s="1225">
        <f>IF('装備'!K35=0,"",'装備'!K35)</f>
      </c>
      <c r="BH220" s="1225"/>
      <c r="BI220" s="1226">
        <f>IF('装備'!E35=0,"",'装備'!E35)</f>
      </c>
      <c r="BJ220" s="1209"/>
      <c r="BK220" s="1210"/>
      <c r="BL220" s="466">
        <v>10</v>
      </c>
      <c r="BM220" s="431"/>
      <c r="BN220" s="1157">
        <f>IF(INDEX('装備'!$C$59:$C$121,CX220)=0,"",CONCATENATE(INDEX('装備'!$C$59:$C$121,CX220),IF(INDEX('装備'!$K$59:$K$121,CX220)=0,"",CONCATENATE(" (",INDEX('装備'!$K$59:$K$121,CX220),"チャージ)")),IF(INDEX('装備'!$L$59:$L$121,CX220)=0,"",CONCATENATE(" (難易度",INDEX('装備'!$L$59:$L$121,CX220),")")),IF(INDEX('装備'!$D$59:$D$121,CX220)&lt;=1,"",CONCATENATE(" x",INDEX('装備'!$D$59:$D$121,CX220)))))</f>
      </c>
      <c r="BO220" s="1158"/>
      <c r="BP220" s="1158"/>
      <c r="BQ220" s="1158"/>
      <c r="BR220" s="1158"/>
      <c r="BS220" s="1158"/>
      <c r="BT220" s="1158"/>
      <c r="BU220" s="1158"/>
      <c r="BV220" s="1158"/>
      <c r="BW220" s="1158"/>
      <c r="BX220" s="1158"/>
      <c r="BY220" s="1158"/>
      <c r="BZ220" s="1158"/>
      <c r="CA220" s="1158"/>
      <c r="CB220" s="1158"/>
      <c r="CC220" s="1158"/>
      <c r="CD220" s="1158"/>
      <c r="CE220" s="1158"/>
      <c r="CF220" s="1158"/>
      <c r="CG220" s="1158"/>
      <c r="CH220" s="1158"/>
      <c r="CI220" s="1158"/>
      <c r="CJ220" s="1158"/>
      <c r="CK220" s="1158"/>
      <c r="CL220" s="1158"/>
      <c r="CM220" s="1158"/>
      <c r="CN220" s="1158"/>
      <c r="CO220" s="1158"/>
      <c r="CP220" s="1192">
        <f>IF(INDEX('装備'!$D$59:$D$121,CX220)=0,"",INDEX('装備'!$D$59:$D$121,CX220))</f>
      </c>
      <c r="CQ220" s="1192"/>
      <c r="CR220" s="1192">
        <f>IF(INDEX('装備'!$I$59:$I$121,CX220)=0,"",INDEX('装備'!$I$59:$I$121,CX220))</f>
      </c>
      <c r="CS220" s="1192"/>
      <c r="CT220" s="1192">
        <f>IF(INDEX('装備'!$J$59:$J$121,CX220)=0,"",INDEX('装備'!$J$59:$J$121,CX220))</f>
      </c>
      <c r="CU220" s="1192"/>
      <c r="CV220" s="1192">
        <f>IF(INDEX('装備'!$F$59:$F$121,CX220)=0,"",INDEX('装備'!$F$59:$F$121,CX220))</f>
      </c>
      <c r="CW220" s="1193"/>
      <c r="CX220" s="1195">
        <v>40</v>
      </c>
      <c r="CY220" s="1196"/>
    </row>
    <row r="221" spans="1:103" ht="21" customHeight="1">
      <c r="A221" s="1232">
        <f>IF(INDEX('装備'!$C$19:$C$28,BL215)=0,"",INDEX('装備'!$C$19:$C$28,BL215))</f>
      </c>
      <c r="B221" s="1233"/>
      <c r="C221" s="1233"/>
      <c r="D221" s="1233"/>
      <c r="E221" s="1233"/>
      <c r="F221" s="1233"/>
      <c r="G221" s="1233"/>
      <c r="H221" s="1233"/>
      <c r="I221" s="1233"/>
      <c r="J221" s="1233"/>
      <c r="K221" s="1233"/>
      <c r="L221" s="1233"/>
      <c r="M221" s="1233"/>
      <c r="N221" s="1233"/>
      <c r="O221" s="1233"/>
      <c r="P221" s="1233"/>
      <c r="Q221" s="1233"/>
      <c r="R221" s="1233"/>
      <c r="S221" s="1233"/>
      <c r="T221" s="1233"/>
      <c r="U221" s="1233"/>
      <c r="V221" s="1233"/>
      <c r="W221" s="1233"/>
      <c r="X221" s="1233"/>
      <c r="Y221" s="1233"/>
      <c r="Z221" s="1233"/>
      <c r="AA221" s="1233"/>
      <c r="AB221" s="1233"/>
      <c r="AC221" s="1233"/>
      <c r="AD221" s="1225">
        <f>IF(INDEX('装備'!$F$19:$F$28,BL215)=0,"",INDEX('装備'!$F$19:$F$28,BL215))</f>
      </c>
      <c r="AE221" s="1225"/>
      <c r="AF221" s="1642"/>
      <c r="AG221" s="1643" t="s">
        <v>747</v>
      </c>
      <c r="AH221" s="1644"/>
      <c r="AI221" s="1644"/>
      <c r="AJ221" s="1644"/>
      <c r="AK221" s="1644"/>
      <c r="AL221" s="1644"/>
      <c r="AM221" s="1644"/>
      <c r="AN221" s="1648"/>
      <c r="AO221" s="1213" t="str">
        <f>IF('装備'!C36=0,"",'装備'!C36)</f>
        <v>Belf of Giant Strength +4</v>
      </c>
      <c r="AP221" s="1214"/>
      <c r="AQ221" s="1214"/>
      <c r="AR221" s="1214"/>
      <c r="AS221" s="1214"/>
      <c r="AT221" s="1214"/>
      <c r="AU221" s="1214"/>
      <c r="AV221" s="1214"/>
      <c r="AW221" s="1214"/>
      <c r="AX221" s="1214"/>
      <c r="AY221" s="1214"/>
      <c r="AZ221" s="1214"/>
      <c r="BA221" s="1214"/>
      <c r="BB221" s="1215"/>
      <c r="BC221" s="1225">
        <f>IF('装備'!I36=0,"",'装備'!I36)</f>
      </c>
      <c r="BD221" s="1225"/>
      <c r="BE221" s="1225">
        <f>IF('装備'!J36=0,"",'装備'!J36)</f>
      </c>
      <c r="BF221" s="1225"/>
      <c r="BG221" s="1225">
        <f>IF('装備'!K36=0,"",'装備'!K36)</f>
      </c>
      <c r="BH221" s="1225"/>
      <c r="BI221" s="1226">
        <f>IF('装備'!E36=0,"",'装備'!E36)</f>
      </c>
      <c r="BJ221" s="1209"/>
      <c r="BK221" s="1210"/>
      <c r="BL221" s="466"/>
      <c r="BM221" s="431"/>
      <c r="BN221" s="1157">
        <f>IF(INDEX('装備'!$C$59:$C$121,CX221)=0,"",CONCATENATE(INDEX('装備'!$C$59:$C$121,CX221),IF(INDEX('装備'!$K$59:$K$121,CX221)=0,"",CONCATENATE(" (",INDEX('装備'!$K$59:$K$121,CX221),"チャージ)")),IF(INDEX('装備'!$L$59:$L$121,CX221)=0,"",CONCATENATE(" (難易度",INDEX('装備'!$L$59:$L$121,CX221),")")),IF(INDEX('装備'!$D$59:$D$121,CX221)&lt;=1,"",CONCATENATE(" x",INDEX('装備'!$D$59:$D$121,CX221)))))</f>
      </c>
      <c r="BO221" s="1158"/>
      <c r="BP221" s="1158"/>
      <c r="BQ221" s="1158"/>
      <c r="BR221" s="1158"/>
      <c r="BS221" s="1158"/>
      <c r="BT221" s="1158"/>
      <c r="BU221" s="1158"/>
      <c r="BV221" s="1158"/>
      <c r="BW221" s="1158"/>
      <c r="BX221" s="1158"/>
      <c r="BY221" s="1158"/>
      <c r="BZ221" s="1158"/>
      <c r="CA221" s="1158"/>
      <c r="CB221" s="1158"/>
      <c r="CC221" s="1158"/>
      <c r="CD221" s="1158"/>
      <c r="CE221" s="1158"/>
      <c r="CF221" s="1158"/>
      <c r="CG221" s="1158"/>
      <c r="CH221" s="1158"/>
      <c r="CI221" s="1158"/>
      <c r="CJ221" s="1158"/>
      <c r="CK221" s="1158"/>
      <c r="CL221" s="1158"/>
      <c r="CM221" s="1158"/>
      <c r="CN221" s="1158"/>
      <c r="CO221" s="1158"/>
      <c r="CP221" s="1192">
        <f>IF(INDEX('装備'!$D$59:$D$121,CX221)=0,"",INDEX('装備'!$D$59:$D$121,CX221))</f>
      </c>
      <c r="CQ221" s="1192"/>
      <c r="CR221" s="1192">
        <f>IF(INDEX('装備'!$I$59:$I$121,CX221)=0,"",INDEX('装備'!$I$59:$I$121,CX221))</f>
      </c>
      <c r="CS221" s="1192"/>
      <c r="CT221" s="1192">
        <f>IF(INDEX('装備'!$J$59:$J$121,CX221)=0,"",INDEX('装備'!$J$59:$J$121,CX221))</f>
      </c>
      <c r="CU221" s="1192"/>
      <c r="CV221" s="1192">
        <f>IF(INDEX('装備'!$F$59:$F$121,CX221)=0,"",INDEX('装備'!$F$59:$F$121,CX221))</f>
      </c>
      <c r="CW221" s="1193"/>
      <c r="CX221" s="1195">
        <v>41</v>
      </c>
      <c r="CY221" s="1196"/>
    </row>
    <row r="222" spans="1:103" ht="21" customHeight="1">
      <c r="A222" s="1833" t="s">
        <v>683</v>
      </c>
      <c r="B222" s="1834"/>
      <c r="C222" s="1834"/>
      <c r="D222" s="1834"/>
      <c r="E222" s="1834"/>
      <c r="F222" s="1834"/>
      <c r="G222" s="1834"/>
      <c r="H222" s="1834"/>
      <c r="I222" s="1834"/>
      <c r="J222" s="1834"/>
      <c r="K222" s="1834"/>
      <c r="L222" s="1834"/>
      <c r="M222" s="1834"/>
      <c r="N222" s="1834"/>
      <c r="O222" s="1834"/>
      <c r="P222" s="1834"/>
      <c r="Q222" s="1834"/>
      <c r="R222" s="1834"/>
      <c r="S222" s="1834"/>
      <c r="T222" s="1834"/>
      <c r="U222" s="1834"/>
      <c r="V222" s="1834"/>
      <c r="W222" s="1834"/>
      <c r="X222" s="1834"/>
      <c r="Y222" s="1834"/>
      <c r="Z222" s="1834"/>
      <c r="AA222" s="1834"/>
      <c r="AB222" s="1834"/>
      <c r="AC222" s="1835"/>
      <c r="AD222" s="1645" t="s">
        <v>720</v>
      </c>
      <c r="AE222" s="1831"/>
      <c r="AF222" s="1832"/>
      <c r="AG222" s="1828" t="s">
        <v>748</v>
      </c>
      <c r="AH222" s="1829"/>
      <c r="AI222" s="1829"/>
      <c r="AJ222" s="1829"/>
      <c r="AK222" s="1829"/>
      <c r="AL222" s="1829"/>
      <c r="AM222" s="1829"/>
      <c r="AN222" s="1830"/>
      <c r="AO222" s="1213">
        <f>IF('装備'!C37=0,"",'装備'!C37)</f>
      </c>
      <c r="AP222" s="1214"/>
      <c r="AQ222" s="1214"/>
      <c r="AR222" s="1214"/>
      <c r="AS222" s="1214"/>
      <c r="AT222" s="1214"/>
      <c r="AU222" s="1214"/>
      <c r="AV222" s="1214"/>
      <c r="AW222" s="1214"/>
      <c r="AX222" s="1214"/>
      <c r="AY222" s="1214"/>
      <c r="AZ222" s="1214"/>
      <c r="BA222" s="1214"/>
      <c r="BB222" s="1215"/>
      <c r="BC222" s="1225">
        <f>IF('装備'!I37=0,"",'装備'!I37)</f>
      </c>
      <c r="BD222" s="1225"/>
      <c r="BE222" s="1225">
        <f>IF('装備'!J37=0,"",'装備'!J37)</f>
      </c>
      <c r="BF222" s="1225"/>
      <c r="BG222" s="1225">
        <f>IF('装備'!K37=0,"",'装備'!K37)</f>
      </c>
      <c r="BH222" s="1225"/>
      <c r="BI222" s="1226">
        <f>IF('装備'!E37=0,"",'装備'!E37)</f>
      </c>
      <c r="BJ222" s="1209"/>
      <c r="BK222" s="1210"/>
      <c r="BL222" s="466">
        <v>1</v>
      </c>
      <c r="BM222" s="466">
        <v>1</v>
      </c>
      <c r="BN222" s="1157">
        <f>IF(INDEX('装備'!$C$59:$C$121,CX222)=0,"",CONCATENATE(INDEX('装備'!$C$59:$C$121,CX222),IF(INDEX('装備'!$K$59:$K$121,CX222)=0,"",CONCATENATE(" (",INDEX('装備'!$K$59:$K$121,CX222),"チャージ)")),IF(INDEX('装備'!$L$59:$L$121,CX222)=0,"",CONCATENATE(" (難易度",INDEX('装備'!$L$59:$L$121,CX222),")")),IF(INDEX('装備'!$D$59:$D$121,CX222)&lt;=1,"",CONCATENATE(" x",INDEX('装備'!$D$59:$D$121,CX222)))))</f>
      </c>
      <c r="BO222" s="1158"/>
      <c r="BP222" s="1158"/>
      <c r="BQ222" s="1158"/>
      <c r="BR222" s="1158"/>
      <c r="BS222" s="1158"/>
      <c r="BT222" s="1158"/>
      <c r="BU222" s="1158"/>
      <c r="BV222" s="1158"/>
      <c r="BW222" s="1158"/>
      <c r="BX222" s="1158"/>
      <c r="BY222" s="1158"/>
      <c r="BZ222" s="1158"/>
      <c r="CA222" s="1158"/>
      <c r="CB222" s="1158"/>
      <c r="CC222" s="1158"/>
      <c r="CD222" s="1158"/>
      <c r="CE222" s="1158"/>
      <c r="CF222" s="1158"/>
      <c r="CG222" s="1158"/>
      <c r="CH222" s="1158"/>
      <c r="CI222" s="1158"/>
      <c r="CJ222" s="1158"/>
      <c r="CK222" s="1158"/>
      <c r="CL222" s="1158"/>
      <c r="CM222" s="1158"/>
      <c r="CN222" s="1158"/>
      <c r="CO222" s="1158"/>
      <c r="CP222" s="1192">
        <f>IF(INDEX('装備'!$D$59:$D$121,CX222)=0,"",INDEX('装備'!$D$59:$D$121,CX222))</f>
      </c>
      <c r="CQ222" s="1192"/>
      <c r="CR222" s="1192">
        <f>IF(INDEX('装備'!$I$59:$I$121,CX222)=0,"",INDEX('装備'!$I$59:$I$121,CX222))</f>
      </c>
      <c r="CS222" s="1192"/>
      <c r="CT222" s="1192">
        <f>IF(INDEX('装備'!$J$59:$J$121,CX222)=0,"",INDEX('装備'!$J$59:$J$121,CX222))</f>
      </c>
      <c r="CU222" s="1192"/>
      <c r="CV222" s="1192">
        <f>IF(INDEX('装備'!$F$59:$F$121,CX222)=0,"",INDEX('装備'!$F$59:$F$121,CX222))</f>
      </c>
      <c r="CW222" s="1193"/>
      <c r="CX222" s="1195">
        <v>42</v>
      </c>
      <c r="CY222" s="1196"/>
    </row>
    <row r="223" spans="1:103" ht="21" customHeight="1">
      <c r="A223" s="1232">
        <f>IF(INDEX('装備'!$C$19:$C$28,BL217)=0,"",INDEX('装備'!$C$19:$C$28,BL217))</f>
      </c>
      <c r="B223" s="1233"/>
      <c r="C223" s="1233"/>
      <c r="D223" s="1233"/>
      <c r="E223" s="1233"/>
      <c r="F223" s="1233"/>
      <c r="G223" s="1233"/>
      <c r="H223" s="1233"/>
      <c r="I223" s="1233"/>
      <c r="J223" s="1233"/>
      <c r="K223" s="1233"/>
      <c r="L223" s="1233"/>
      <c r="M223" s="1233"/>
      <c r="N223" s="1233"/>
      <c r="O223" s="1233"/>
      <c r="P223" s="1233"/>
      <c r="Q223" s="1233"/>
      <c r="R223" s="1233"/>
      <c r="S223" s="1233"/>
      <c r="T223" s="1233"/>
      <c r="U223" s="1233"/>
      <c r="V223" s="1233"/>
      <c r="W223" s="1233"/>
      <c r="X223" s="1233"/>
      <c r="Y223" s="1233"/>
      <c r="Z223" s="1233"/>
      <c r="AA223" s="1233"/>
      <c r="AB223" s="1233"/>
      <c r="AC223" s="1233"/>
      <c r="AD223" s="1225">
        <f>IF(INDEX('装備'!$F$19:$F$28,BL217)=0,"",INDEX('装備'!$F$19:$F$28,BL217))</f>
      </c>
      <c r="AE223" s="1225"/>
      <c r="AF223" s="1642"/>
      <c r="AG223" s="1643" t="s">
        <v>749</v>
      </c>
      <c r="AH223" s="1644"/>
      <c r="AI223" s="1644"/>
      <c r="AJ223" s="1644"/>
      <c r="AK223" s="1644"/>
      <c r="AL223" s="1644"/>
      <c r="AM223" s="1644"/>
      <c r="AN223" s="1648"/>
      <c r="AO223" s="1213">
        <f>IF('装備'!C38=0,"",'装備'!C38)</f>
      </c>
      <c r="AP223" s="1214"/>
      <c r="AQ223" s="1214"/>
      <c r="AR223" s="1214"/>
      <c r="AS223" s="1214"/>
      <c r="AT223" s="1214"/>
      <c r="AU223" s="1214"/>
      <c r="AV223" s="1214"/>
      <c r="AW223" s="1214"/>
      <c r="AX223" s="1214"/>
      <c r="AY223" s="1214"/>
      <c r="AZ223" s="1214"/>
      <c r="BA223" s="1214"/>
      <c r="BB223" s="1215"/>
      <c r="BC223" s="1225">
        <f>IF('装備'!I38=0,"",'装備'!I38)</f>
      </c>
      <c r="BD223" s="1225"/>
      <c r="BE223" s="1225">
        <f>IF('装備'!J38=0,"",'装備'!J38)</f>
      </c>
      <c r="BF223" s="1225"/>
      <c r="BG223" s="1225">
        <f>IF('装備'!K38=0,"",'装備'!K38)</f>
      </c>
      <c r="BH223" s="1225"/>
      <c r="BI223" s="1226">
        <f>IF('装備'!E38=0,"",'装備'!E38)</f>
      </c>
      <c r="BJ223" s="1209"/>
      <c r="BK223" s="1210"/>
      <c r="BL223" s="466">
        <v>2</v>
      </c>
      <c r="BM223" s="466">
        <v>2</v>
      </c>
      <c r="BN223" s="1157">
        <f>IF(INDEX('装備'!$C$59:$C$121,CX223)=0,"",CONCATENATE(INDEX('装備'!$C$59:$C$121,CX223),IF(INDEX('装備'!$K$59:$K$121,CX223)=0,"",CONCATENATE(" (",INDEX('装備'!$K$59:$K$121,CX223),"チャージ)")),IF(INDEX('装備'!$L$59:$L$121,CX223)=0,"",CONCATENATE(" (難易度",INDEX('装備'!$L$59:$L$121,CX223),")")),IF(INDEX('装備'!$D$59:$D$121,CX223)&lt;=1,"",CONCATENATE(" x",INDEX('装備'!$D$59:$D$121,CX223)))))</f>
      </c>
      <c r="BO223" s="1158"/>
      <c r="BP223" s="1158"/>
      <c r="BQ223" s="1158"/>
      <c r="BR223" s="1158"/>
      <c r="BS223" s="1158"/>
      <c r="BT223" s="1158"/>
      <c r="BU223" s="1158"/>
      <c r="BV223" s="1158"/>
      <c r="BW223" s="1158"/>
      <c r="BX223" s="1158"/>
      <c r="BY223" s="1158"/>
      <c r="BZ223" s="1158"/>
      <c r="CA223" s="1158"/>
      <c r="CB223" s="1158"/>
      <c r="CC223" s="1158"/>
      <c r="CD223" s="1158"/>
      <c r="CE223" s="1158"/>
      <c r="CF223" s="1158"/>
      <c r="CG223" s="1158"/>
      <c r="CH223" s="1158"/>
      <c r="CI223" s="1158"/>
      <c r="CJ223" s="1158"/>
      <c r="CK223" s="1158"/>
      <c r="CL223" s="1158"/>
      <c r="CM223" s="1158"/>
      <c r="CN223" s="1158"/>
      <c r="CO223" s="1158"/>
      <c r="CP223" s="1192">
        <f>IF(INDEX('装備'!$D$59:$D$121,CX223)=0,"",INDEX('装備'!$D$59:$D$121,CX223))</f>
      </c>
      <c r="CQ223" s="1192"/>
      <c r="CR223" s="1192">
        <f>IF(INDEX('装備'!$I$59:$I$121,CX223)=0,"",INDEX('装備'!$I$59:$I$121,CX223))</f>
      </c>
      <c r="CS223" s="1192"/>
      <c r="CT223" s="1192">
        <f>IF(INDEX('装備'!$J$59:$J$121,CX223)=0,"",INDEX('装備'!$J$59:$J$121,CX223))</f>
      </c>
      <c r="CU223" s="1192"/>
      <c r="CV223" s="1192">
        <f>IF(INDEX('装備'!$F$59:$F$121,CX223)=0,"",INDEX('装備'!$F$59:$F$121,CX223))</f>
      </c>
      <c r="CW223" s="1193"/>
      <c r="CX223" s="1195">
        <v>43</v>
      </c>
      <c r="CY223" s="1196"/>
    </row>
    <row r="224" spans="1:103" ht="21" customHeight="1">
      <c r="A224" s="1232">
        <f>IF(INDEX('装備'!$C$19:$C$28,BL218)=0,"",INDEX('装備'!$C$19:$C$28,BL218))</f>
      </c>
      <c r="B224" s="1233"/>
      <c r="C224" s="1233"/>
      <c r="D224" s="1233"/>
      <c r="E224" s="1233"/>
      <c r="F224" s="1233"/>
      <c r="G224" s="1233"/>
      <c r="H224" s="1233"/>
      <c r="I224" s="1233"/>
      <c r="J224" s="1233"/>
      <c r="K224" s="1233"/>
      <c r="L224" s="1233"/>
      <c r="M224" s="1233"/>
      <c r="N224" s="1233"/>
      <c r="O224" s="1233"/>
      <c r="P224" s="1233"/>
      <c r="Q224" s="1233"/>
      <c r="R224" s="1233"/>
      <c r="S224" s="1233"/>
      <c r="T224" s="1233"/>
      <c r="U224" s="1233"/>
      <c r="V224" s="1233"/>
      <c r="W224" s="1233"/>
      <c r="X224" s="1233"/>
      <c r="Y224" s="1233"/>
      <c r="Z224" s="1233"/>
      <c r="AA224" s="1233"/>
      <c r="AB224" s="1233"/>
      <c r="AC224" s="1233"/>
      <c r="AD224" s="1225">
        <f>IF(INDEX('装備'!$F$19:$F$28,BL218)=0,"",INDEX('装備'!$F$19:$F$28,BL218))</f>
      </c>
      <c r="AE224" s="1225"/>
      <c r="AF224" s="1642"/>
      <c r="AG224" s="1643" t="s">
        <v>750</v>
      </c>
      <c r="AH224" s="1644"/>
      <c r="AI224" s="1644"/>
      <c r="AJ224" s="1644"/>
      <c r="AK224" s="1644"/>
      <c r="AL224" s="1644"/>
      <c r="AM224" s="1644"/>
      <c r="AN224" s="1648"/>
      <c r="AO224" s="1213">
        <f>IF('装備'!C39=0,"",'装備'!C39)</f>
      </c>
      <c r="AP224" s="1214"/>
      <c r="AQ224" s="1214"/>
      <c r="AR224" s="1214"/>
      <c r="AS224" s="1214"/>
      <c r="AT224" s="1214"/>
      <c r="AU224" s="1214"/>
      <c r="AV224" s="1214"/>
      <c r="AW224" s="1214"/>
      <c r="AX224" s="1214"/>
      <c r="AY224" s="1214"/>
      <c r="AZ224" s="1214"/>
      <c r="BA224" s="1214"/>
      <c r="BB224" s="1215"/>
      <c r="BC224" s="1225">
        <f>IF('装備'!I39=0,"",'装備'!I39)</f>
      </c>
      <c r="BD224" s="1225"/>
      <c r="BE224" s="1225">
        <f>IF('装備'!J39=0,"",'装備'!J39)</f>
      </c>
      <c r="BF224" s="1225"/>
      <c r="BG224" s="1225">
        <f>IF('装備'!K39=0,"",'装備'!K39)</f>
      </c>
      <c r="BH224" s="1225"/>
      <c r="BI224" s="1226">
        <f>IF('装備'!E39=0,"",'装備'!E39)</f>
      </c>
      <c r="BJ224" s="1209"/>
      <c r="BK224" s="1210"/>
      <c r="BL224" s="466">
        <v>3</v>
      </c>
      <c r="BM224" s="466">
        <v>3</v>
      </c>
      <c r="BN224" s="1157">
        <f>IF(INDEX('装備'!$C$59:$C$121,CX224)=0,"",CONCATENATE(INDEX('装備'!$C$59:$C$121,CX224),IF(INDEX('装備'!$K$59:$K$121,CX224)=0,"",CONCATENATE(" (",INDEX('装備'!$K$59:$K$121,CX224),"チャージ)")),IF(INDEX('装備'!$L$59:$L$121,CX224)=0,"",CONCATENATE(" (難易度",INDEX('装備'!$L$59:$L$121,CX224),")")),IF(INDEX('装備'!$D$59:$D$121,CX224)&lt;=1,"",CONCATENATE(" x",INDEX('装備'!$D$59:$D$121,CX224)))))</f>
      </c>
      <c r="BO224" s="1158"/>
      <c r="BP224" s="1158"/>
      <c r="BQ224" s="1158"/>
      <c r="BR224" s="1158"/>
      <c r="BS224" s="1158"/>
      <c r="BT224" s="1158"/>
      <c r="BU224" s="1158"/>
      <c r="BV224" s="1158"/>
      <c r="BW224" s="1158"/>
      <c r="BX224" s="1158"/>
      <c r="BY224" s="1158"/>
      <c r="BZ224" s="1158"/>
      <c r="CA224" s="1158"/>
      <c r="CB224" s="1158"/>
      <c r="CC224" s="1158"/>
      <c r="CD224" s="1158"/>
      <c r="CE224" s="1158"/>
      <c r="CF224" s="1158"/>
      <c r="CG224" s="1158"/>
      <c r="CH224" s="1158"/>
      <c r="CI224" s="1158"/>
      <c r="CJ224" s="1158"/>
      <c r="CK224" s="1158"/>
      <c r="CL224" s="1158"/>
      <c r="CM224" s="1158"/>
      <c r="CN224" s="1158"/>
      <c r="CO224" s="1158"/>
      <c r="CP224" s="1192">
        <f>IF(INDEX('装備'!$D$59:$D$121,CX224)=0,"",INDEX('装備'!$D$59:$D$121,CX224))</f>
      </c>
      <c r="CQ224" s="1192"/>
      <c r="CR224" s="1192">
        <f>IF(INDEX('装備'!$I$59:$I$121,CX224)=0,"",INDEX('装備'!$I$59:$I$121,CX224))</f>
      </c>
      <c r="CS224" s="1192"/>
      <c r="CT224" s="1192">
        <f>IF(INDEX('装備'!$J$59:$J$121,CX224)=0,"",INDEX('装備'!$J$59:$J$121,CX224))</f>
      </c>
      <c r="CU224" s="1192"/>
      <c r="CV224" s="1192">
        <f>IF(INDEX('装備'!$F$59:$F$121,CX224)=0,"",INDEX('装備'!$F$59:$F$121,CX224))</f>
      </c>
      <c r="CW224" s="1193"/>
      <c r="CX224" s="1195">
        <v>44</v>
      </c>
      <c r="CY224" s="1196"/>
    </row>
    <row r="225" spans="1:103" ht="21" customHeight="1">
      <c r="A225" s="1232">
        <f>IF(INDEX('装備'!$C$19:$C$28,BL219)=0,"",INDEX('装備'!$C$19:$C$28,BL219))</f>
      </c>
      <c r="B225" s="1233"/>
      <c r="C225" s="1233"/>
      <c r="D225" s="1233"/>
      <c r="E225" s="1233"/>
      <c r="F225" s="1233"/>
      <c r="G225" s="1233"/>
      <c r="H225" s="1233"/>
      <c r="I225" s="1233"/>
      <c r="J225" s="1233"/>
      <c r="K225" s="1233"/>
      <c r="L225" s="1233"/>
      <c r="M225" s="1233"/>
      <c r="N225" s="1233"/>
      <c r="O225" s="1233"/>
      <c r="P225" s="1233"/>
      <c r="Q225" s="1233"/>
      <c r="R225" s="1233"/>
      <c r="S225" s="1233"/>
      <c r="T225" s="1233"/>
      <c r="U225" s="1233"/>
      <c r="V225" s="1233"/>
      <c r="W225" s="1233"/>
      <c r="X225" s="1233"/>
      <c r="Y225" s="1233"/>
      <c r="Z225" s="1233"/>
      <c r="AA225" s="1233"/>
      <c r="AB225" s="1233"/>
      <c r="AC225" s="1233"/>
      <c r="AD225" s="1225">
        <f>IF(INDEX('装備'!$F$19:$F$28,BL219)=0,"",INDEX('装備'!$F$19:$F$28,BL219))</f>
      </c>
      <c r="AE225" s="1225"/>
      <c r="AF225" s="1642"/>
      <c r="AG225" s="1643" t="s">
        <v>751</v>
      </c>
      <c r="AH225" s="1644"/>
      <c r="AI225" s="1644"/>
      <c r="AJ225" s="1644"/>
      <c r="AK225" s="1644"/>
      <c r="AL225" s="1644"/>
      <c r="AM225" s="1644"/>
      <c r="AN225" s="1644"/>
      <c r="AO225" s="1213">
        <f>IF('装備'!C40=0,"",'装備'!C40)</f>
      </c>
      <c r="AP225" s="1214"/>
      <c r="AQ225" s="1214"/>
      <c r="AR225" s="1214"/>
      <c r="AS225" s="1214"/>
      <c r="AT225" s="1214"/>
      <c r="AU225" s="1214"/>
      <c r="AV225" s="1214"/>
      <c r="AW225" s="1214"/>
      <c r="AX225" s="1214"/>
      <c r="AY225" s="1214"/>
      <c r="AZ225" s="1214"/>
      <c r="BA225" s="1214"/>
      <c r="BB225" s="1215"/>
      <c r="BC225" s="1225">
        <f>IF('装備'!I40=0,"",'装備'!I40)</f>
      </c>
      <c r="BD225" s="1225"/>
      <c r="BE225" s="1225">
        <f>IF('装備'!J40=0,"",'装備'!J40)</f>
      </c>
      <c r="BF225" s="1225"/>
      <c r="BG225" s="1225">
        <f>IF('装備'!K40=0,"",'装備'!K40)</f>
      </c>
      <c r="BH225" s="1225"/>
      <c r="BI225" s="1226">
        <f>IF('装備'!E40=0,"",'装備'!E40)</f>
      </c>
      <c r="BJ225" s="1209"/>
      <c r="BK225" s="1210"/>
      <c r="BL225" s="506">
        <v>4</v>
      </c>
      <c r="BM225" s="466">
        <v>4</v>
      </c>
      <c r="BN225" s="1157">
        <f>IF(INDEX('装備'!$C$59:$C$121,CX225)=0,"",CONCATENATE(INDEX('装備'!$C$59:$C$121,CX225),IF(INDEX('装備'!$K$59:$K$121,CX225)=0,"",CONCATENATE(" (",INDEX('装備'!$K$59:$K$121,CX225),"チャージ)")),IF(INDEX('装備'!$L$59:$L$121,CX225)=0,"",CONCATENATE(" (難易度",INDEX('装備'!$L$59:$L$121,CX225),")")),IF(INDEX('装備'!$D$59:$D$121,CX225)&lt;=1,"",CONCATENATE(" x",INDEX('装備'!$D$59:$D$121,CX225)))))</f>
      </c>
      <c r="BO225" s="1158"/>
      <c r="BP225" s="1158"/>
      <c r="BQ225" s="1158"/>
      <c r="BR225" s="1158"/>
      <c r="BS225" s="1158"/>
      <c r="BT225" s="1158"/>
      <c r="BU225" s="1158"/>
      <c r="BV225" s="1158"/>
      <c r="BW225" s="1158"/>
      <c r="BX225" s="1158"/>
      <c r="BY225" s="1158"/>
      <c r="BZ225" s="1158"/>
      <c r="CA225" s="1158"/>
      <c r="CB225" s="1158"/>
      <c r="CC225" s="1158"/>
      <c r="CD225" s="1158"/>
      <c r="CE225" s="1158"/>
      <c r="CF225" s="1158"/>
      <c r="CG225" s="1158"/>
      <c r="CH225" s="1158"/>
      <c r="CI225" s="1158"/>
      <c r="CJ225" s="1158"/>
      <c r="CK225" s="1158"/>
      <c r="CL225" s="1158"/>
      <c r="CM225" s="1158"/>
      <c r="CN225" s="1158"/>
      <c r="CO225" s="1158"/>
      <c r="CP225" s="1192">
        <f>IF(INDEX('装備'!$D$59:$D$121,CX225)=0,"",INDEX('装備'!$D$59:$D$121,CX225))</f>
      </c>
      <c r="CQ225" s="1192"/>
      <c r="CR225" s="1192">
        <f>IF(INDEX('装備'!$I$59:$I$121,CX225)=0,"",INDEX('装備'!$I$59:$I$121,CX225))</f>
      </c>
      <c r="CS225" s="1192"/>
      <c r="CT225" s="1192">
        <f>IF(INDEX('装備'!$J$59:$J$121,CX225)=0,"",INDEX('装備'!$J$59:$J$121,CX225))</f>
      </c>
      <c r="CU225" s="1192"/>
      <c r="CV225" s="1192">
        <f>IF(INDEX('装備'!$F$59:$F$121,CX225)=0,"",INDEX('装備'!$F$59:$F$121,CX225))</f>
      </c>
      <c r="CW225" s="1193"/>
      <c r="CX225" s="1195">
        <v>45</v>
      </c>
      <c r="CY225" s="1196"/>
    </row>
    <row r="226" spans="1:103" ht="21" customHeight="1">
      <c r="A226" s="1232">
        <f>IF(INDEX('装備'!$C$19:$C$28,BL220)=0,"",INDEX('装備'!$C$19:$C$28,BL220))</f>
      </c>
      <c r="B226" s="1233"/>
      <c r="C226" s="1233"/>
      <c r="D226" s="1233"/>
      <c r="E226" s="1233"/>
      <c r="F226" s="1233"/>
      <c r="G226" s="1233"/>
      <c r="H226" s="1233"/>
      <c r="I226" s="1233"/>
      <c r="J226" s="1233"/>
      <c r="K226" s="1233"/>
      <c r="L226" s="1233"/>
      <c r="M226" s="1233"/>
      <c r="N226" s="1233"/>
      <c r="O226" s="1233"/>
      <c r="P226" s="1233"/>
      <c r="Q226" s="1233"/>
      <c r="R226" s="1233"/>
      <c r="S226" s="1233"/>
      <c r="T226" s="1233"/>
      <c r="U226" s="1233"/>
      <c r="V226" s="1233"/>
      <c r="W226" s="1233"/>
      <c r="X226" s="1233"/>
      <c r="Y226" s="1233"/>
      <c r="Z226" s="1233"/>
      <c r="AA226" s="1233"/>
      <c r="AB226" s="1233"/>
      <c r="AC226" s="1233"/>
      <c r="AD226" s="1225">
        <f>IF(INDEX('装備'!$F$19:$F$28,BL220)=0,"",INDEX('装備'!$F$19:$F$28,BL220))</f>
      </c>
      <c r="AE226" s="1225"/>
      <c r="AF226" s="1642"/>
      <c r="AG226" s="1643" t="s">
        <v>752</v>
      </c>
      <c r="AH226" s="1644"/>
      <c r="AI226" s="1644"/>
      <c r="AJ226" s="1644"/>
      <c r="AK226" s="1644"/>
      <c r="AL226" s="1644"/>
      <c r="AM226" s="1644"/>
      <c r="AN226" s="1644"/>
      <c r="AO226" s="1213" t="str">
        <f>IF('装備'!C41=0,"",'装備'!C41)</f>
        <v>Boots of Haste</v>
      </c>
      <c r="AP226" s="1214"/>
      <c r="AQ226" s="1214"/>
      <c r="AR226" s="1214"/>
      <c r="AS226" s="1214"/>
      <c r="AT226" s="1214"/>
      <c r="AU226" s="1214"/>
      <c r="AV226" s="1214"/>
      <c r="AW226" s="1214"/>
      <c r="AX226" s="1214"/>
      <c r="AY226" s="1214"/>
      <c r="AZ226" s="1214"/>
      <c r="BA226" s="1214"/>
      <c r="BB226" s="1215"/>
      <c r="BC226" s="1225">
        <f>IF('装備'!I41=0,"",'装備'!I41)</f>
      </c>
      <c r="BD226" s="1225"/>
      <c r="BE226" s="1225">
        <f>IF('装備'!J41=0,"",'装備'!J41)</f>
      </c>
      <c r="BF226" s="1225"/>
      <c r="BG226" s="1225">
        <f>IF('装備'!K41=0,"",'装備'!K41)</f>
      </c>
      <c r="BH226" s="1225"/>
      <c r="BI226" s="1226">
        <f>IF('装備'!E41=0,"",'装備'!E41)</f>
      </c>
      <c r="BJ226" s="1209"/>
      <c r="BK226" s="1210"/>
      <c r="BL226" s="506"/>
      <c r="BM226" s="466">
        <v>5</v>
      </c>
      <c r="BN226" s="1157">
        <f>IF(INDEX('装備'!$C$59:$C$121,CX226)=0,"",CONCATENATE(INDEX('装備'!$C$59:$C$121,CX226),IF(INDEX('装備'!$K$59:$K$121,CX226)=0,"",CONCATENATE(" (",INDEX('装備'!$K$59:$K$121,CX226),"チャージ)")),IF(INDEX('装備'!$L$59:$L$121,CX226)=0,"",CONCATENATE(" (難易度",INDEX('装備'!$L$59:$L$121,CX226),")")),IF(INDEX('装備'!$D$59:$D$121,CX226)&lt;=1,"",CONCATENATE(" x",INDEX('装備'!$D$59:$D$121,CX226)))))</f>
      </c>
      <c r="BO226" s="1158"/>
      <c r="BP226" s="1158"/>
      <c r="BQ226" s="1158"/>
      <c r="BR226" s="1158"/>
      <c r="BS226" s="1158"/>
      <c r="BT226" s="1158"/>
      <c r="BU226" s="1158"/>
      <c r="BV226" s="1158"/>
      <c r="BW226" s="1158"/>
      <c r="BX226" s="1158"/>
      <c r="BY226" s="1158"/>
      <c r="BZ226" s="1158"/>
      <c r="CA226" s="1158"/>
      <c r="CB226" s="1158"/>
      <c r="CC226" s="1158"/>
      <c r="CD226" s="1158"/>
      <c r="CE226" s="1158"/>
      <c r="CF226" s="1158"/>
      <c r="CG226" s="1158"/>
      <c r="CH226" s="1158"/>
      <c r="CI226" s="1158"/>
      <c r="CJ226" s="1158"/>
      <c r="CK226" s="1158"/>
      <c r="CL226" s="1158"/>
      <c r="CM226" s="1158"/>
      <c r="CN226" s="1158"/>
      <c r="CO226" s="1158"/>
      <c r="CP226" s="1192">
        <f>IF(INDEX('装備'!$D$59:$D$121,CX226)=0,"",INDEX('装備'!$D$59:$D$121,CX226))</f>
      </c>
      <c r="CQ226" s="1192"/>
      <c r="CR226" s="1192">
        <f>IF(INDEX('装備'!$I$59:$I$121,CX226)=0,"",INDEX('装備'!$I$59:$I$121,CX226))</f>
      </c>
      <c r="CS226" s="1192"/>
      <c r="CT226" s="1192">
        <f>IF(INDEX('装備'!$J$59:$J$121,CX226)=0,"",INDEX('装備'!$J$59:$J$121,CX226))</f>
      </c>
      <c r="CU226" s="1192"/>
      <c r="CV226" s="1192">
        <f>IF(INDEX('装備'!$F$59:$F$121,CX226)=0,"",INDEX('装備'!$F$59:$F$121,CX226))</f>
      </c>
      <c r="CW226" s="1193"/>
      <c r="CX226" s="1195">
        <v>46</v>
      </c>
      <c r="CY226" s="1196"/>
    </row>
    <row r="227" spans="1:103" ht="21" customHeight="1">
      <c r="A227" s="1223" t="s">
        <v>5</v>
      </c>
      <c r="B227" s="1224"/>
      <c r="C227" s="1224"/>
      <c r="D227" s="1224"/>
      <c r="E227" s="1224"/>
      <c r="F227" s="1224"/>
      <c r="G227" s="1224"/>
      <c r="H227" s="1224"/>
      <c r="I227" s="1224"/>
      <c r="J227" s="1224"/>
      <c r="K227" s="1224"/>
      <c r="L227" s="1224"/>
      <c r="M227" s="1224"/>
      <c r="N227" s="1224"/>
      <c r="O227" s="1224"/>
      <c r="P227" s="1224"/>
      <c r="Q227" s="1224"/>
      <c r="R227" s="1224"/>
      <c r="S227" s="1224"/>
      <c r="T227" s="1224"/>
      <c r="U227" s="1224"/>
      <c r="V227" s="1224"/>
      <c r="W227" s="1224"/>
      <c r="X227" s="1224"/>
      <c r="Y227" s="1224"/>
      <c r="Z227" s="1224"/>
      <c r="AA227" s="1224"/>
      <c r="AB227" s="1224"/>
      <c r="AC227" s="1224"/>
      <c r="AD227" s="1645" t="s">
        <v>720</v>
      </c>
      <c r="AE227" s="1646"/>
      <c r="AF227" s="1647"/>
      <c r="AG227" s="1643" t="s">
        <v>753</v>
      </c>
      <c r="AH227" s="1644"/>
      <c r="AI227" s="1644"/>
      <c r="AJ227" s="1644"/>
      <c r="AK227" s="1644"/>
      <c r="AL227" s="1644"/>
      <c r="AM227" s="1644"/>
      <c r="AN227" s="1644"/>
      <c r="AO227" s="1213">
        <f>IF('装備'!C42=0,"",'装備'!C42)</f>
      </c>
      <c r="AP227" s="1214"/>
      <c r="AQ227" s="1214"/>
      <c r="AR227" s="1214"/>
      <c r="AS227" s="1214"/>
      <c r="AT227" s="1214"/>
      <c r="AU227" s="1214"/>
      <c r="AV227" s="1214"/>
      <c r="AW227" s="1214"/>
      <c r="AX227" s="1214"/>
      <c r="AY227" s="1214"/>
      <c r="AZ227" s="1214"/>
      <c r="BA227" s="1214"/>
      <c r="BB227" s="1215"/>
      <c r="BC227" s="1225">
        <f>IF('装備'!I42=0,"",'装備'!I42)</f>
      </c>
      <c r="BD227" s="1225"/>
      <c r="BE227" s="1225">
        <f>IF('装備'!J42=0,"",'装備'!J42)</f>
      </c>
      <c r="BF227" s="1225"/>
      <c r="BG227" s="1225">
        <f>IF('装備'!K42=0,"",'装備'!K42)</f>
      </c>
      <c r="BH227" s="1225"/>
      <c r="BI227" s="1226">
        <f>IF('装備'!E42=0,"",'装備'!E42)</f>
      </c>
      <c r="BJ227" s="1209"/>
      <c r="BK227" s="1210"/>
      <c r="BL227" s="466">
        <v>1</v>
      </c>
      <c r="BM227" s="466">
        <v>6</v>
      </c>
      <c r="BN227" s="1157">
        <f>IF(INDEX('装備'!$C$59:$C$121,CX227)=0,"",CONCATENATE(INDEX('装備'!$C$59:$C$121,CX227),IF(INDEX('装備'!$K$59:$K$121,CX227)=0,"",CONCATENATE(" (",INDEX('装備'!$K$59:$K$121,CX227),"チャージ)")),IF(INDEX('装備'!$L$59:$L$121,CX227)=0,"",CONCATENATE(" (難易度",INDEX('装備'!$L$59:$L$121,CX227),")")),IF(INDEX('装備'!$D$59:$D$121,CX227)&lt;=1,"",CONCATENATE(" x",INDEX('装備'!$D$59:$D$121,CX227)))))</f>
      </c>
      <c r="BO227" s="1158"/>
      <c r="BP227" s="1158"/>
      <c r="BQ227" s="1158"/>
      <c r="BR227" s="1158"/>
      <c r="BS227" s="1158"/>
      <c r="BT227" s="1158"/>
      <c r="BU227" s="1158"/>
      <c r="BV227" s="1158"/>
      <c r="BW227" s="1158"/>
      <c r="BX227" s="1158"/>
      <c r="BY227" s="1158"/>
      <c r="BZ227" s="1158"/>
      <c r="CA227" s="1158"/>
      <c r="CB227" s="1158"/>
      <c r="CC227" s="1158"/>
      <c r="CD227" s="1158"/>
      <c r="CE227" s="1158"/>
      <c r="CF227" s="1158"/>
      <c r="CG227" s="1158"/>
      <c r="CH227" s="1158"/>
      <c r="CI227" s="1158"/>
      <c r="CJ227" s="1158"/>
      <c r="CK227" s="1158"/>
      <c r="CL227" s="1158"/>
      <c r="CM227" s="1158"/>
      <c r="CN227" s="1158"/>
      <c r="CO227" s="1158"/>
      <c r="CP227" s="1192">
        <f>IF(INDEX('装備'!$D$59:$D$121,CX227)=0,"",INDEX('装備'!$D$59:$D$121,CX227))</f>
      </c>
      <c r="CQ227" s="1192"/>
      <c r="CR227" s="1192">
        <f>IF(INDEX('装備'!$I$59:$I$121,CX227)=0,"",INDEX('装備'!$I$59:$I$121,CX227))</f>
      </c>
      <c r="CS227" s="1192"/>
      <c r="CT227" s="1192">
        <f>IF(INDEX('装備'!$J$59:$J$121,CX227)=0,"",INDEX('装備'!$J$59:$J$121,CX227))</f>
      </c>
      <c r="CU227" s="1192"/>
      <c r="CV227" s="1192">
        <f>IF(INDEX('装備'!$F$59:$F$121,CX227)=0,"",INDEX('装備'!$F$59:$F$121,CX227))</f>
      </c>
      <c r="CW227" s="1193"/>
      <c r="CX227" s="1195">
        <v>47</v>
      </c>
      <c r="CY227" s="1196"/>
    </row>
    <row r="228" spans="1:103" ht="21" customHeight="1">
      <c r="A228" s="1232" t="str">
        <f>IF(INDEX('装備'!$C$12:$C$18,BL222)=0,"",INDEX('装備'!$C$12:$C$18,BL222))</f>
        <v>Glamered Splint Armor +1</v>
      </c>
      <c r="B228" s="1233"/>
      <c r="C228" s="1233"/>
      <c r="D228" s="1233"/>
      <c r="E228" s="1233"/>
      <c r="F228" s="1233"/>
      <c r="G228" s="1233"/>
      <c r="H228" s="1233"/>
      <c r="I228" s="1233"/>
      <c r="J228" s="1233"/>
      <c r="K228" s="1233"/>
      <c r="L228" s="1233"/>
      <c r="M228" s="1233"/>
      <c r="N228" s="1233"/>
      <c r="O228" s="1233"/>
      <c r="P228" s="1233"/>
      <c r="Q228" s="1233"/>
      <c r="R228" s="1233"/>
      <c r="S228" s="1233"/>
      <c r="T228" s="1233"/>
      <c r="U228" s="1233"/>
      <c r="V228" s="1233"/>
      <c r="W228" s="1233"/>
      <c r="X228" s="1233"/>
      <c r="Y228" s="1233"/>
      <c r="Z228" s="1233"/>
      <c r="AA228" s="1233"/>
      <c r="AB228" s="1233"/>
      <c r="AC228" s="1233"/>
      <c r="AD228" s="1493">
        <f>IF(INDEX('装備'!$F$12:$F$18,BL222)=0,"",INDEX('装備'!$F$12:$F$18,BL222))</f>
        <v>45</v>
      </c>
      <c r="AE228" s="1493"/>
      <c r="AF228" s="1494"/>
      <c r="AG228" s="1211" t="str">
        <f>IF(INDEX('装備'!$C$43:$C$51,BM222)=0,"",INDEX('装備'!$B$43:$B$51,BM222))</f>
        <v>Other Slot</v>
      </c>
      <c r="AH228" s="1212"/>
      <c r="AI228" s="1212"/>
      <c r="AJ228" s="1212"/>
      <c r="AK228" s="1212"/>
      <c r="AL228" s="1212"/>
      <c r="AM228" s="1212"/>
      <c r="AN228" s="1212"/>
      <c r="AO228" s="1213" t="str">
        <f>IF(INDEX('装備'!$C$43:$C$51,BM222)=0,"",INDEX('装備'!$C$43:$C$51,BM222))</f>
        <v>Ioun Stone, Pink (CON+2)</v>
      </c>
      <c r="AP228" s="1214"/>
      <c r="AQ228" s="1214"/>
      <c r="AR228" s="1214"/>
      <c r="AS228" s="1214"/>
      <c r="AT228" s="1214"/>
      <c r="AU228" s="1214"/>
      <c r="AV228" s="1214"/>
      <c r="AW228" s="1214"/>
      <c r="AX228" s="1214"/>
      <c r="AY228" s="1214"/>
      <c r="AZ228" s="1214"/>
      <c r="BA228" s="1214"/>
      <c r="BB228" s="1215"/>
      <c r="BC228" s="1225">
        <f>IF(INDEX('装備'!$I$43:$I$51,BM222)=0,"",INDEX('装備'!$I$43:$I$51,BM222))</f>
      </c>
      <c r="BD228" s="1225"/>
      <c r="BE228" s="1225">
        <f>IF(INDEX('装備'!$J$43:$J$51,BM222)=0,"",INDEX('装備'!$J$43:$J$51,BM222))</f>
      </c>
      <c r="BF228" s="1225"/>
      <c r="BG228" s="1225">
        <f>IF(INDEX('装備'!$K$43:$K$51,BM222)=0,"",INDEX('装備'!$K$43:$K$51,BM222))</f>
      </c>
      <c r="BH228" s="1225"/>
      <c r="BI228" s="1226">
        <f>IF(INDEX('装備'!$F$43:$F$51,BM222)=0,"",INDEX('装備'!$F$43:$F$51,BM222))</f>
      </c>
      <c r="BJ228" s="1209"/>
      <c r="BK228" s="1210"/>
      <c r="BL228" s="466">
        <v>2</v>
      </c>
      <c r="BM228" s="466">
        <v>6</v>
      </c>
      <c r="BN228" s="1157">
        <f>IF(INDEX('装備'!$C$59:$C$121,CX228)=0,"",CONCATENATE(INDEX('装備'!$C$59:$C$121,CX228),IF(INDEX('装備'!$K$59:$K$121,CX228)=0,"",CONCATENATE(" (",INDEX('装備'!$K$59:$K$121,CX228),"チャージ)")),IF(INDEX('装備'!$L$59:$L$121,CX228)=0,"",CONCATENATE(" (難易度",INDEX('装備'!$L$59:$L$121,CX228),")")),IF(INDEX('装備'!$D$59:$D$121,CX228)&lt;=1,"",CONCATENATE(" x",INDEX('装備'!$D$59:$D$121,CX228)))))</f>
      </c>
      <c r="BO228" s="1158"/>
      <c r="BP228" s="1158"/>
      <c r="BQ228" s="1158"/>
      <c r="BR228" s="1158"/>
      <c r="BS228" s="1158"/>
      <c r="BT228" s="1158"/>
      <c r="BU228" s="1158"/>
      <c r="BV228" s="1158"/>
      <c r="BW228" s="1158"/>
      <c r="BX228" s="1158"/>
      <c r="BY228" s="1158"/>
      <c r="BZ228" s="1158"/>
      <c r="CA228" s="1158"/>
      <c r="CB228" s="1158"/>
      <c r="CC228" s="1158"/>
      <c r="CD228" s="1158"/>
      <c r="CE228" s="1158"/>
      <c r="CF228" s="1158"/>
      <c r="CG228" s="1158"/>
      <c r="CH228" s="1158"/>
      <c r="CI228" s="1158"/>
      <c r="CJ228" s="1158"/>
      <c r="CK228" s="1158"/>
      <c r="CL228" s="1158"/>
      <c r="CM228" s="1158"/>
      <c r="CN228" s="1158"/>
      <c r="CO228" s="1158"/>
      <c r="CP228" s="1192">
        <f>IF(INDEX('装備'!$D$59:$D$121,CX228)=0,"",INDEX('装備'!$D$59:$D$121,CX228))</f>
      </c>
      <c r="CQ228" s="1192"/>
      <c r="CR228" s="1192">
        <f>IF(INDEX('装備'!$I$59:$I$121,CX228)=0,"",INDEX('装備'!$I$59:$I$121,CX228))</f>
      </c>
      <c r="CS228" s="1192"/>
      <c r="CT228" s="1192">
        <f>IF(INDEX('装備'!$J$59:$J$121,CX228)=0,"",INDEX('装備'!$J$59:$J$121,CX228))</f>
      </c>
      <c r="CU228" s="1192"/>
      <c r="CV228" s="1192">
        <f>IF(INDEX('装備'!$F$59:$F$121,CX228)=0,"",INDEX('装備'!$F$59:$F$121,CX228))</f>
      </c>
      <c r="CW228" s="1193"/>
      <c r="CX228" s="1195">
        <v>48</v>
      </c>
      <c r="CY228" s="1196"/>
    </row>
    <row r="229" spans="1:103" ht="21" customHeight="1">
      <c r="A229" s="1232">
        <f>IF(INDEX('装備'!$C$12:$C$18,BL223)=0,"",INDEX('装備'!$C$12:$C$18,BL223))</f>
      </c>
      <c r="B229" s="1233"/>
      <c r="C229" s="1233"/>
      <c r="D229" s="1233"/>
      <c r="E229" s="1233"/>
      <c r="F229" s="1233"/>
      <c r="G229" s="1233"/>
      <c r="H229" s="1233"/>
      <c r="I229" s="1233"/>
      <c r="J229" s="1233"/>
      <c r="K229" s="1233"/>
      <c r="L229" s="1233"/>
      <c r="M229" s="1233"/>
      <c r="N229" s="1233"/>
      <c r="O229" s="1233"/>
      <c r="P229" s="1233"/>
      <c r="Q229" s="1233"/>
      <c r="R229" s="1233"/>
      <c r="S229" s="1233"/>
      <c r="T229" s="1233"/>
      <c r="U229" s="1233"/>
      <c r="V229" s="1233"/>
      <c r="W229" s="1233"/>
      <c r="X229" s="1233"/>
      <c r="Y229" s="1233"/>
      <c r="Z229" s="1233"/>
      <c r="AA229" s="1233"/>
      <c r="AB229" s="1233"/>
      <c r="AC229" s="1233"/>
      <c r="AD229" s="1493">
        <f>IF(INDEX('装備'!$F$12:$F$18,BL223)=0,"",INDEX('装備'!$F$12:$F$18,BL223))</f>
      </c>
      <c r="AE229" s="1493"/>
      <c r="AF229" s="1494"/>
      <c r="AG229" s="1211" t="str">
        <f>IF(INDEX('装備'!$C$43:$C$51,BM223)=0,"",INDEX('装備'!$B$43:$B$51,BM223))</f>
        <v>Other Slot</v>
      </c>
      <c r="AH229" s="1212"/>
      <c r="AI229" s="1212"/>
      <c r="AJ229" s="1212"/>
      <c r="AK229" s="1212"/>
      <c r="AL229" s="1212"/>
      <c r="AM229" s="1212"/>
      <c r="AN229" s="1212"/>
      <c r="AO229" s="1213" t="str">
        <f>IF(INDEX('装備'!$C$43:$C$51,BM223)=0,"",INDEX('装備'!$C$43:$C$51,BM223))</f>
        <v>MW Cold Iron Halbard</v>
      </c>
      <c r="AP229" s="1214"/>
      <c r="AQ229" s="1214"/>
      <c r="AR229" s="1214"/>
      <c r="AS229" s="1214"/>
      <c r="AT229" s="1214"/>
      <c r="AU229" s="1214"/>
      <c r="AV229" s="1214"/>
      <c r="AW229" s="1214"/>
      <c r="AX229" s="1214"/>
      <c r="AY229" s="1214"/>
      <c r="AZ229" s="1214"/>
      <c r="BA229" s="1214"/>
      <c r="BB229" s="1215"/>
      <c r="BC229" s="1225">
        <f>IF(INDEX('装備'!$I$43:$I$51,BM223)=0,"",INDEX('装備'!$I$43:$I$51,BM223))</f>
      </c>
      <c r="BD229" s="1225"/>
      <c r="BE229" s="1225">
        <f>IF(INDEX('装備'!$J$43:$J$51,BM223)=0,"",INDEX('装備'!$J$43:$J$51,BM223))</f>
      </c>
      <c r="BF229" s="1225"/>
      <c r="BG229" s="1225">
        <f>IF(INDEX('装備'!$K$43:$K$51,BM223)=0,"",INDEX('装備'!$K$43:$K$51,BM223))</f>
      </c>
      <c r="BH229" s="1225"/>
      <c r="BI229" s="1226">
        <f>IF(INDEX('装備'!$F$43:$F$51,BM223)=0,"",INDEX('装備'!$F$43:$F$51,BM223))</f>
      </c>
      <c r="BJ229" s="1209"/>
      <c r="BK229" s="1210"/>
      <c r="BL229" s="466">
        <v>3</v>
      </c>
      <c r="BM229" s="466">
        <v>7</v>
      </c>
      <c r="BN229" s="1157">
        <f>IF(INDEX('装備'!$C$59:$C$121,CX229)=0,"",CONCATENATE(INDEX('装備'!$C$59:$C$121,CX229),IF(INDEX('装備'!$K$59:$K$121,CX229)=0,"",CONCATENATE(" (",INDEX('装備'!$K$59:$K$121,CX229),"チャージ)")),IF(INDEX('装備'!$L$59:$L$121,CX229)=0,"",CONCATENATE(" (難易度",INDEX('装備'!$L$59:$L$121,CX229),")")),IF(INDEX('装備'!$D$59:$D$121,CX229)&lt;=1,"",CONCATENATE(" x",INDEX('装備'!$D$59:$D$121,CX229)))))</f>
      </c>
      <c r="BO229" s="1158"/>
      <c r="BP229" s="1158"/>
      <c r="BQ229" s="1158"/>
      <c r="BR229" s="1158"/>
      <c r="BS229" s="1158"/>
      <c r="BT229" s="1158"/>
      <c r="BU229" s="1158"/>
      <c r="BV229" s="1158"/>
      <c r="BW229" s="1158"/>
      <c r="BX229" s="1158"/>
      <c r="BY229" s="1158"/>
      <c r="BZ229" s="1158"/>
      <c r="CA229" s="1158"/>
      <c r="CB229" s="1158"/>
      <c r="CC229" s="1158"/>
      <c r="CD229" s="1158"/>
      <c r="CE229" s="1158"/>
      <c r="CF229" s="1158"/>
      <c r="CG229" s="1158"/>
      <c r="CH229" s="1158"/>
      <c r="CI229" s="1158"/>
      <c r="CJ229" s="1158"/>
      <c r="CK229" s="1158"/>
      <c r="CL229" s="1158"/>
      <c r="CM229" s="1158"/>
      <c r="CN229" s="1158"/>
      <c r="CO229" s="1158"/>
      <c r="CP229" s="1192">
        <f>IF(INDEX('装備'!$D$59:$D$121,CX229)=0,"",INDEX('装備'!$D$59:$D$121,CX229))</f>
      </c>
      <c r="CQ229" s="1192"/>
      <c r="CR229" s="1192">
        <f>IF(INDEX('装備'!$I$59:$I$121,CX229)=0,"",INDEX('装備'!$I$59:$I$121,CX229))</f>
      </c>
      <c r="CS229" s="1192"/>
      <c r="CT229" s="1192">
        <f>IF(INDEX('装備'!$J$59:$J$121,CX229)=0,"",INDEX('装備'!$J$59:$J$121,CX229))</f>
      </c>
      <c r="CU229" s="1192"/>
      <c r="CV229" s="1192">
        <f>IF(INDEX('装備'!$F$59:$F$121,CX229)=0,"",INDEX('装備'!$F$59:$F$121,CX229))</f>
      </c>
      <c r="CW229" s="1193"/>
      <c r="CX229" s="1195">
        <v>49</v>
      </c>
      <c r="CY229" s="1196"/>
    </row>
    <row r="230" spans="1:103" ht="21" customHeight="1">
      <c r="A230" s="1232">
        <f>IF(INDEX('装備'!$C$12:$C$18,BL224)=0,"",INDEX('装備'!$C$12:$C$18,BL224))</f>
      </c>
      <c r="B230" s="1233"/>
      <c r="C230" s="1233"/>
      <c r="D230" s="1233"/>
      <c r="E230" s="1233"/>
      <c r="F230" s="1233"/>
      <c r="G230" s="1233"/>
      <c r="H230" s="1233"/>
      <c r="I230" s="1233"/>
      <c r="J230" s="1233"/>
      <c r="K230" s="1233"/>
      <c r="L230" s="1233"/>
      <c r="M230" s="1233"/>
      <c r="N230" s="1233"/>
      <c r="O230" s="1233"/>
      <c r="P230" s="1233"/>
      <c r="Q230" s="1233"/>
      <c r="R230" s="1233"/>
      <c r="S230" s="1233"/>
      <c r="T230" s="1233"/>
      <c r="U230" s="1233"/>
      <c r="V230" s="1233"/>
      <c r="W230" s="1233"/>
      <c r="X230" s="1233"/>
      <c r="Y230" s="1233"/>
      <c r="Z230" s="1233"/>
      <c r="AA230" s="1233"/>
      <c r="AB230" s="1233"/>
      <c r="AC230" s="1233"/>
      <c r="AD230" s="1493">
        <f>IF(INDEX('装備'!$F$12:$F$18,BL224)=0,"",INDEX('装備'!$F$12:$F$18,BL224))</f>
      </c>
      <c r="AE230" s="1493"/>
      <c r="AF230" s="1494"/>
      <c r="AG230" s="1211" t="str">
        <f>IF(INDEX('装備'!$C$43:$C$51,BM224)=0,"",INDEX('装備'!$B$43:$B$51,BM224))</f>
        <v>Other Slot</v>
      </c>
      <c r="AH230" s="1212"/>
      <c r="AI230" s="1212"/>
      <c r="AJ230" s="1212"/>
      <c r="AK230" s="1212"/>
      <c r="AL230" s="1212"/>
      <c r="AM230" s="1212"/>
      <c r="AN230" s="1212"/>
      <c r="AO230" s="1213" t="str">
        <f>IF(INDEX('装備'!$C$43:$C$51,BM224)=0,"",INDEX('装備'!$C$43:$C$51,BM224))</f>
        <v>MW Alchemical Silver Halbard</v>
      </c>
      <c r="AP230" s="1214"/>
      <c r="AQ230" s="1214"/>
      <c r="AR230" s="1214"/>
      <c r="AS230" s="1214"/>
      <c r="AT230" s="1214"/>
      <c r="AU230" s="1214"/>
      <c r="AV230" s="1214"/>
      <c r="AW230" s="1214"/>
      <c r="AX230" s="1214"/>
      <c r="AY230" s="1214"/>
      <c r="AZ230" s="1214"/>
      <c r="BA230" s="1214"/>
      <c r="BB230" s="1215"/>
      <c r="BC230" s="1225">
        <f>IF(INDEX('装備'!$I$43:$I$51,BM224)=0,"",INDEX('装備'!$I$43:$I$51,BM224))</f>
      </c>
      <c r="BD230" s="1225"/>
      <c r="BE230" s="1225">
        <f>IF(INDEX('装備'!$J$43:$J$51,BM224)=0,"",INDEX('装備'!$J$43:$J$51,BM224))</f>
      </c>
      <c r="BF230" s="1225"/>
      <c r="BG230" s="1225">
        <f>IF(INDEX('装備'!$K$43:$K$51,BM224)=0,"",INDEX('装備'!$K$43:$K$51,BM224))</f>
      </c>
      <c r="BH230" s="1225"/>
      <c r="BI230" s="1226">
        <f>IF(INDEX('装備'!$F$43:$F$51,BM224)=0,"",INDEX('装備'!$F$43:$F$51,BM224))</f>
      </c>
      <c r="BJ230" s="1209"/>
      <c r="BK230" s="1210"/>
      <c r="BL230" s="466">
        <v>4</v>
      </c>
      <c r="BM230" s="466">
        <v>8</v>
      </c>
      <c r="BN230" s="1157">
        <f>IF(INDEX('装備'!$C$59:$C$121,CX230)=0,"",CONCATENATE(INDEX('装備'!$C$59:$C$121,CX230),IF(INDEX('装備'!$K$59:$K$121,CX230)=0,"",CONCATENATE(" (",INDEX('装備'!$K$59:$K$121,CX230),"チャージ)")),IF(INDEX('装備'!$L$59:$L$121,CX230)=0,"",CONCATENATE(" (難易度",INDEX('装備'!$L$59:$L$121,CX230),")")),IF(INDEX('装備'!$D$59:$D$121,CX230)&lt;=1,"",CONCATENATE(" x",INDEX('装備'!$D$59:$D$121,CX230)))))</f>
      </c>
      <c r="BO230" s="1158"/>
      <c r="BP230" s="1158"/>
      <c r="BQ230" s="1158"/>
      <c r="BR230" s="1158"/>
      <c r="BS230" s="1158"/>
      <c r="BT230" s="1158"/>
      <c r="BU230" s="1158"/>
      <c r="BV230" s="1158"/>
      <c r="BW230" s="1158"/>
      <c r="BX230" s="1158"/>
      <c r="BY230" s="1158"/>
      <c r="BZ230" s="1158"/>
      <c r="CA230" s="1158"/>
      <c r="CB230" s="1158"/>
      <c r="CC230" s="1158"/>
      <c r="CD230" s="1158"/>
      <c r="CE230" s="1158"/>
      <c r="CF230" s="1158"/>
      <c r="CG230" s="1158"/>
      <c r="CH230" s="1158"/>
      <c r="CI230" s="1158"/>
      <c r="CJ230" s="1158"/>
      <c r="CK230" s="1158"/>
      <c r="CL230" s="1158"/>
      <c r="CM230" s="1158"/>
      <c r="CN230" s="1158"/>
      <c r="CO230" s="1158"/>
      <c r="CP230" s="1192">
        <f>IF(INDEX('装備'!$D$59:$D$121,CX230)=0,"",INDEX('装備'!$D$59:$D$121,CX230))</f>
      </c>
      <c r="CQ230" s="1192"/>
      <c r="CR230" s="1192">
        <f>IF(INDEX('装備'!$I$59:$I$121,CX230)=0,"",INDEX('装備'!$I$59:$I$121,CX230))</f>
      </c>
      <c r="CS230" s="1192"/>
      <c r="CT230" s="1192">
        <f>IF(INDEX('装備'!$J$59:$J$121,CX230)=0,"",INDEX('装備'!$J$59:$J$121,CX230))</f>
      </c>
      <c r="CU230" s="1192"/>
      <c r="CV230" s="1192">
        <f>IF(INDEX('装備'!$F$59:$F$121,CX230)=0,"",INDEX('装備'!$F$59:$F$121,CX230))</f>
      </c>
      <c r="CW230" s="1193"/>
      <c r="CX230" s="1195">
        <v>50</v>
      </c>
      <c r="CY230" s="1196"/>
    </row>
    <row r="231" spans="1:103" ht="21" customHeight="1">
      <c r="A231" s="1749">
        <f>IF(INDEX('装備'!$C$12:$C$18,BL225)=0,"",INDEX('装備'!$C$12:$C$18,BL225))</f>
      </c>
      <c r="B231" s="1750"/>
      <c r="C231" s="1750"/>
      <c r="D231" s="1750"/>
      <c r="E231" s="1750"/>
      <c r="F231" s="1750"/>
      <c r="G231" s="1750"/>
      <c r="H231" s="1750"/>
      <c r="I231" s="1750"/>
      <c r="J231" s="1750"/>
      <c r="K231" s="1750"/>
      <c r="L231" s="1750"/>
      <c r="M231" s="1750"/>
      <c r="N231" s="1750"/>
      <c r="O231" s="1750"/>
      <c r="P231" s="1750"/>
      <c r="Q231" s="1750"/>
      <c r="R231" s="1750"/>
      <c r="S231" s="1750"/>
      <c r="T231" s="1750"/>
      <c r="U231" s="1750"/>
      <c r="V231" s="1750"/>
      <c r="W231" s="1750"/>
      <c r="X231" s="1750"/>
      <c r="Y231" s="1750"/>
      <c r="Z231" s="1750"/>
      <c r="AA231" s="1750"/>
      <c r="AB231" s="1750"/>
      <c r="AC231" s="1750"/>
      <c r="AD231" s="1649">
        <f>IF(INDEX('装備'!$F$12:$F$18,BL225)=0,"",INDEX('装備'!$F$12:$F$18,BL225))</f>
      </c>
      <c r="AE231" s="1649"/>
      <c r="AF231" s="1650"/>
      <c r="AG231" s="1211">
        <f>IF(INDEX('装備'!$C$43:$C$51,BM225)=0,"",INDEX('装備'!$B$43:$B$51,BM225))</f>
      </c>
      <c r="AH231" s="1212"/>
      <c r="AI231" s="1212"/>
      <c r="AJ231" s="1212"/>
      <c r="AK231" s="1212"/>
      <c r="AL231" s="1212"/>
      <c r="AM231" s="1212"/>
      <c r="AN231" s="1212"/>
      <c r="AO231" s="1213">
        <f>IF(INDEX('装備'!$C$43:$C$51,BM225)=0,"",INDEX('装備'!$C$43:$C$51,BM225))</f>
      </c>
      <c r="AP231" s="1214"/>
      <c r="AQ231" s="1214"/>
      <c r="AR231" s="1214"/>
      <c r="AS231" s="1214"/>
      <c r="AT231" s="1214"/>
      <c r="AU231" s="1214"/>
      <c r="AV231" s="1214"/>
      <c r="AW231" s="1214"/>
      <c r="AX231" s="1214"/>
      <c r="AY231" s="1214"/>
      <c r="AZ231" s="1214"/>
      <c r="BA231" s="1214"/>
      <c r="BB231" s="1215"/>
      <c r="BC231" s="1225">
        <f>IF(INDEX('装備'!$I$43:$I$51,BM225)=0,"",INDEX('装備'!$I$43:$I$51,BM225))</f>
      </c>
      <c r="BD231" s="1225"/>
      <c r="BE231" s="1225">
        <f>IF(INDEX('装備'!$J$43:$J$51,BM225)=0,"",INDEX('装備'!$J$43:$J$51,BM225))</f>
      </c>
      <c r="BF231" s="1225"/>
      <c r="BG231" s="1225">
        <f>IF(INDEX('装備'!$K$43:$K$51,BM225)=0,"",INDEX('装備'!$K$43:$K$51,BM225))</f>
      </c>
      <c r="BH231" s="1225"/>
      <c r="BI231" s="1226">
        <f>IF(INDEX('装備'!$F$43:$F$51,BM225)=0,"",INDEX('装備'!$F$43:$F$51,BM225))</f>
      </c>
      <c r="BJ231" s="1209"/>
      <c r="BK231" s="1210"/>
      <c r="BL231" s="466">
        <v>5</v>
      </c>
      <c r="BM231" s="506">
        <v>9</v>
      </c>
      <c r="BN231" s="1157">
        <f>IF(INDEX('装備'!$C$59:$C$121,CX231)=0,"",CONCATENATE(INDEX('装備'!$C$59:$C$121,CX231),IF(INDEX('装備'!$K$59:$K$121,CX231)=0,"",CONCATENATE(" (",INDEX('装備'!$K$59:$K$121,CX231),"チャージ)")),IF(INDEX('装備'!$L$59:$L$121,CX231)=0,"",CONCATENATE(" (難易度",INDEX('装備'!$L$59:$L$121,CX231),")")),IF(INDEX('装備'!$D$59:$D$121,CX231)&lt;=1,"",CONCATENATE(" x",INDEX('装備'!$D$59:$D$121,CX231)))))</f>
      </c>
      <c r="BO231" s="1158"/>
      <c r="BP231" s="1158"/>
      <c r="BQ231" s="1158"/>
      <c r="BR231" s="1158"/>
      <c r="BS231" s="1158"/>
      <c r="BT231" s="1158"/>
      <c r="BU231" s="1158"/>
      <c r="BV231" s="1158"/>
      <c r="BW231" s="1158"/>
      <c r="BX231" s="1158"/>
      <c r="BY231" s="1158"/>
      <c r="BZ231" s="1158"/>
      <c r="CA231" s="1158"/>
      <c r="CB231" s="1158"/>
      <c r="CC231" s="1158"/>
      <c r="CD231" s="1158"/>
      <c r="CE231" s="1158"/>
      <c r="CF231" s="1158"/>
      <c r="CG231" s="1158"/>
      <c r="CH231" s="1158"/>
      <c r="CI231" s="1158"/>
      <c r="CJ231" s="1158"/>
      <c r="CK231" s="1158"/>
      <c r="CL231" s="1158"/>
      <c r="CM231" s="1158"/>
      <c r="CN231" s="1158"/>
      <c r="CO231" s="1158"/>
      <c r="CP231" s="1192">
        <f>IF(INDEX('装備'!$D$59:$D$121,CX231)=0,"",INDEX('装備'!$D$59:$D$121,CX231))</f>
      </c>
      <c r="CQ231" s="1192"/>
      <c r="CR231" s="1192">
        <f>IF(INDEX('装備'!$I$59:$I$121,CX231)=0,"",INDEX('装備'!$I$59:$I$121,CX231))</f>
      </c>
      <c r="CS231" s="1192"/>
      <c r="CT231" s="1192">
        <f>IF(INDEX('装備'!$J$59:$J$121,CX231)=0,"",INDEX('装備'!$J$59:$J$121,CX231))</f>
      </c>
      <c r="CU231" s="1192"/>
      <c r="CV231" s="1192">
        <f>IF(INDEX('装備'!$F$59:$F$121,CX231)=0,"",INDEX('装備'!$F$59:$F$121,CX231))</f>
      </c>
      <c r="CW231" s="1193"/>
      <c r="CX231" s="1195">
        <v>51</v>
      </c>
      <c r="CY231" s="1196"/>
    </row>
    <row r="232" spans="1:103" ht="21" customHeight="1">
      <c r="A232" s="1840" t="s">
        <v>758</v>
      </c>
      <c r="B232" s="1841"/>
      <c r="C232" s="1841"/>
      <c r="D232" s="1841"/>
      <c r="E232" s="1841"/>
      <c r="F232" s="1841"/>
      <c r="G232" s="1841"/>
      <c r="H232" s="1841"/>
      <c r="I232" s="1841"/>
      <c r="J232" s="1841"/>
      <c r="K232" s="1841"/>
      <c r="L232" s="1841"/>
      <c r="M232" s="1841"/>
      <c r="N232" s="1841"/>
      <c r="O232" s="1841"/>
      <c r="P232" s="1841"/>
      <c r="Q232" s="1841"/>
      <c r="R232" s="1841"/>
      <c r="S232" s="1841"/>
      <c r="T232" s="1841"/>
      <c r="U232" s="1841"/>
      <c r="V232" s="1841"/>
      <c r="W232" s="1841"/>
      <c r="X232" s="1842"/>
      <c r="Y232" s="1843"/>
      <c r="Z232" s="1836" t="s">
        <v>721</v>
      </c>
      <c r="AA232" s="1836"/>
      <c r="AB232" s="1823" t="s">
        <v>722</v>
      </c>
      <c r="AC232" s="1823"/>
      <c r="AD232" s="1645" t="s">
        <v>720</v>
      </c>
      <c r="AE232" s="1646"/>
      <c r="AF232" s="1647"/>
      <c r="AG232" s="1211">
        <f>IF(INDEX('装備'!$C$43:$C$51,BM226)=0,"",INDEX('装備'!$B$43:$B$51,BM226))</f>
      </c>
      <c r="AH232" s="1212"/>
      <c r="AI232" s="1212"/>
      <c r="AJ232" s="1212"/>
      <c r="AK232" s="1212"/>
      <c r="AL232" s="1212"/>
      <c r="AM232" s="1212"/>
      <c r="AN232" s="1212"/>
      <c r="AO232" s="1213">
        <f>IF(INDEX('装備'!$C$43:$C$51,BM226)=0,"",INDEX('装備'!$C$43:$C$51,BM226))</f>
      </c>
      <c r="AP232" s="1214"/>
      <c r="AQ232" s="1214"/>
      <c r="AR232" s="1214"/>
      <c r="AS232" s="1214"/>
      <c r="AT232" s="1214"/>
      <c r="AU232" s="1214"/>
      <c r="AV232" s="1214"/>
      <c r="AW232" s="1214"/>
      <c r="AX232" s="1214"/>
      <c r="AY232" s="1214"/>
      <c r="AZ232" s="1214"/>
      <c r="BA232" s="1214"/>
      <c r="BB232" s="1215"/>
      <c r="BC232" s="1225">
        <f>IF(INDEX('装備'!$I$43:$I$51,BM226)=0,"",INDEX('装備'!$I$43:$I$51,BM226))</f>
      </c>
      <c r="BD232" s="1225"/>
      <c r="BE232" s="1225">
        <f>IF(INDEX('装備'!$J$43:$J$51,BM226)=0,"",INDEX('装備'!$J$43:$J$51,BM226))</f>
      </c>
      <c r="BF232" s="1225"/>
      <c r="BG232" s="1225">
        <f>IF(INDEX('装備'!$K$43:$K$51,BM226)=0,"",INDEX('装備'!$K$43:$K$51,BM226))</f>
      </c>
      <c r="BH232" s="1225"/>
      <c r="BI232" s="1226">
        <f>IF(INDEX('装備'!$F$43:$F$51,BM226)=0,"",INDEX('装備'!$F$43:$F$51,BM226))</f>
      </c>
      <c r="BJ232" s="1209"/>
      <c r="BK232" s="1210"/>
      <c r="BL232" s="431"/>
      <c r="BM232" s="431"/>
      <c r="BN232" s="1157">
        <f>IF(INDEX('装備'!$C$59:$C$121,CX232)=0,"",CONCATENATE(INDEX('装備'!$C$59:$C$121,CX232),IF(INDEX('装備'!$K$59:$K$121,CX232)=0,"",CONCATENATE(" (",INDEX('装備'!$K$59:$K$121,CX232),"チャージ)")),IF(INDEX('装備'!$L$59:$L$121,CX232)=0,"",CONCATENATE(" (難易度",INDEX('装備'!$L$59:$L$121,CX232),")")),IF(INDEX('装備'!$D$59:$D$121,CX232)&lt;=1,"",CONCATENATE(" x",INDEX('装備'!$D$59:$D$121,CX232)))))</f>
      </c>
      <c r="BO232" s="1158"/>
      <c r="BP232" s="1158"/>
      <c r="BQ232" s="1158"/>
      <c r="BR232" s="1158"/>
      <c r="BS232" s="1158"/>
      <c r="BT232" s="1158"/>
      <c r="BU232" s="1158"/>
      <c r="BV232" s="1158"/>
      <c r="BW232" s="1158"/>
      <c r="BX232" s="1158"/>
      <c r="BY232" s="1158"/>
      <c r="BZ232" s="1158"/>
      <c r="CA232" s="1158"/>
      <c r="CB232" s="1158"/>
      <c r="CC232" s="1158"/>
      <c r="CD232" s="1158"/>
      <c r="CE232" s="1158"/>
      <c r="CF232" s="1158"/>
      <c r="CG232" s="1158"/>
      <c r="CH232" s="1158"/>
      <c r="CI232" s="1158"/>
      <c r="CJ232" s="1158"/>
      <c r="CK232" s="1158"/>
      <c r="CL232" s="1158"/>
      <c r="CM232" s="1158"/>
      <c r="CN232" s="1158"/>
      <c r="CO232" s="1158"/>
      <c r="CP232" s="1192">
        <f>IF(INDEX('装備'!$D$59:$D$121,CX232)=0,"",INDEX('装備'!$D$59:$D$121,CX232))</f>
      </c>
      <c r="CQ232" s="1192"/>
      <c r="CR232" s="1192">
        <f>IF(INDEX('装備'!$I$59:$I$121,CX232)=0,"",INDEX('装備'!$I$59:$I$121,CX232))</f>
      </c>
      <c r="CS232" s="1192"/>
      <c r="CT232" s="1192">
        <f>IF(INDEX('装備'!$J$59:$J$121,CX232)=0,"",INDEX('装備'!$J$59:$J$121,CX232))</f>
      </c>
      <c r="CU232" s="1192"/>
      <c r="CV232" s="1192">
        <f>IF(INDEX('装備'!$F$59:$F$121,CX232)=0,"",INDEX('装備'!$F$59:$F$121,CX232))</f>
      </c>
      <c r="CW232" s="1193"/>
      <c r="CX232" s="1195">
        <v>52</v>
      </c>
      <c r="CY232" s="1196"/>
    </row>
    <row r="233" spans="1:103" ht="21" customHeight="1">
      <c r="A233" s="1820"/>
      <c r="B233" s="1821"/>
      <c r="C233" s="1821"/>
      <c r="D233" s="1821"/>
      <c r="E233" s="1821"/>
      <c r="F233" s="1821"/>
      <c r="G233" s="1821"/>
      <c r="H233" s="1821"/>
      <c r="I233" s="1821"/>
      <c r="J233" s="1821"/>
      <c r="K233" s="1821"/>
      <c r="L233" s="1821"/>
      <c r="M233" s="1821"/>
      <c r="N233" s="1821"/>
      <c r="O233" s="1821"/>
      <c r="P233" s="1821"/>
      <c r="Q233" s="1821"/>
      <c r="R233" s="1821"/>
      <c r="S233" s="1821"/>
      <c r="T233" s="1821"/>
      <c r="U233" s="1821"/>
      <c r="V233" s="1821"/>
      <c r="W233" s="1821"/>
      <c r="X233" s="1821"/>
      <c r="Y233" s="1822"/>
      <c r="Z233" s="1824">
        <f>IF(INDEX('装備'!$I$52:$I$56,BL227)=0,"",INDEX('装備'!$I$52:$I$56,BL227))</f>
      </c>
      <c r="AA233" s="1825"/>
      <c r="AB233" s="1213">
        <f>IF(INDEX('装備'!$J$52:$J$56,BL227)=0,"",INDEX('装備'!$J$52:$J$56,BL227))</f>
      </c>
      <c r="AC233" s="1215"/>
      <c r="AD233" s="1208">
        <f>IF(INDEX('装備'!$F$52:$F$56,BL227)=0,"",INDEX('装備'!$F$52:$F$56,BL227))</f>
      </c>
      <c r="AE233" s="1209"/>
      <c r="AF233" s="1210"/>
      <c r="AG233" s="1211">
        <f>IF(INDEX('装備'!$C$43:$C$51,BM227)=0,"",INDEX('装備'!$B$43:$B$51,BM227))</f>
      </c>
      <c r="AH233" s="1212"/>
      <c r="AI233" s="1212"/>
      <c r="AJ233" s="1212"/>
      <c r="AK233" s="1212"/>
      <c r="AL233" s="1212"/>
      <c r="AM233" s="1212"/>
      <c r="AN233" s="1212"/>
      <c r="AO233" s="1213">
        <f>IF(INDEX('装備'!$C$43:$C$51,BM227)=0,"",INDEX('装備'!$C$43:$C$51,BM227))</f>
      </c>
      <c r="AP233" s="1214"/>
      <c r="AQ233" s="1214"/>
      <c r="AR233" s="1214"/>
      <c r="AS233" s="1214"/>
      <c r="AT233" s="1214"/>
      <c r="AU233" s="1214"/>
      <c r="AV233" s="1214"/>
      <c r="AW233" s="1214"/>
      <c r="AX233" s="1214"/>
      <c r="AY233" s="1214"/>
      <c r="AZ233" s="1214"/>
      <c r="BA233" s="1214"/>
      <c r="BB233" s="1215"/>
      <c r="BC233" s="1225">
        <f>IF(INDEX('装備'!$I$43:$I$51,BM227)=0,"",INDEX('装備'!$I$43:$I$51,BM227))</f>
      </c>
      <c r="BD233" s="1225"/>
      <c r="BE233" s="1225">
        <f>IF(INDEX('装備'!$J$43:$J$51,BM227)=0,"",INDEX('装備'!$J$43:$J$51,BM227))</f>
      </c>
      <c r="BF233" s="1225"/>
      <c r="BG233" s="1225">
        <f>IF(INDEX('装備'!$K$43:$K$51,BM227)=0,"",INDEX('装備'!$K$43:$K$51,BM227))</f>
      </c>
      <c r="BH233" s="1225"/>
      <c r="BI233" s="1226">
        <f>IF(INDEX('装備'!$F$43:$F$51,BM227)=0,"",INDEX('装備'!$F$43:$F$51,BM227))</f>
      </c>
      <c r="BJ233" s="1209"/>
      <c r="BK233" s="1210"/>
      <c r="BL233" s="431"/>
      <c r="BM233" s="431"/>
      <c r="BN233" s="1157">
        <f>IF(INDEX('装備'!$C$59:$C$121,CX233)=0,"",CONCATENATE(INDEX('装備'!$C$59:$C$121,CX233),IF(INDEX('装備'!$K$59:$K$121,CX233)=0,"",CONCATENATE(" (",INDEX('装備'!$K$59:$K$121,CX233),"チャージ)")),IF(INDEX('装備'!$L$59:$L$121,CX233)=0,"",CONCATENATE(" (難易度",INDEX('装備'!$L$59:$L$121,CX233),")")),IF(INDEX('装備'!$D$59:$D$121,CX233)&lt;=1,"",CONCATENATE(" x",INDEX('装備'!$D$59:$D$121,CX233)))))</f>
      </c>
      <c r="BO233" s="1158"/>
      <c r="BP233" s="1158"/>
      <c r="BQ233" s="1158"/>
      <c r="BR233" s="1158"/>
      <c r="BS233" s="1158"/>
      <c r="BT233" s="1158"/>
      <c r="BU233" s="1158"/>
      <c r="BV233" s="1158"/>
      <c r="BW233" s="1158"/>
      <c r="BX233" s="1158"/>
      <c r="BY233" s="1158"/>
      <c r="BZ233" s="1158"/>
      <c r="CA233" s="1158"/>
      <c r="CB233" s="1158"/>
      <c r="CC233" s="1158"/>
      <c r="CD233" s="1158"/>
      <c r="CE233" s="1158"/>
      <c r="CF233" s="1158"/>
      <c r="CG233" s="1158"/>
      <c r="CH233" s="1158"/>
      <c r="CI233" s="1158"/>
      <c r="CJ233" s="1158"/>
      <c r="CK233" s="1158"/>
      <c r="CL233" s="1158"/>
      <c r="CM233" s="1158"/>
      <c r="CN233" s="1158"/>
      <c r="CO233" s="1158"/>
      <c r="CP233" s="1192">
        <f>IF(INDEX('装備'!$D$59:$D$121,CX233)=0,"",INDEX('装備'!$D$59:$D$121,CX233))</f>
      </c>
      <c r="CQ233" s="1192"/>
      <c r="CR233" s="1192">
        <f>IF(INDEX('装備'!$I$59:$I$121,CX233)=0,"",INDEX('装備'!$I$59:$I$121,CX233))</f>
      </c>
      <c r="CS233" s="1192"/>
      <c r="CT233" s="1192">
        <f>IF(INDEX('装備'!$J$59:$J$121,CX233)=0,"",INDEX('装備'!$J$59:$J$121,CX233))</f>
      </c>
      <c r="CU233" s="1192"/>
      <c r="CV233" s="1192">
        <f>IF(INDEX('装備'!$F$59:$F$121,CX233)=0,"",INDEX('装備'!$F$59:$F$121,CX233))</f>
      </c>
      <c r="CW233" s="1193"/>
      <c r="CX233" s="1195">
        <v>53</v>
      </c>
      <c r="CY233" s="1196"/>
    </row>
    <row r="234" spans="1:103" ht="21" customHeight="1">
      <c r="A234" s="1820">
        <f>IF(INDEX('装備'!$C$52:$C$56,BL228)=0,"",CONCATENATE(INDEX('装備'!$C$52:$C$56,BL228),IF(INDEX('装備'!$K$52:$K$56,BL228)=0,"",CONCATENATE(" (",INDEX('装備'!$K$52:$K$56,BL228),"チャージ)")),IF(INDEX('装備'!$L$52:$L$56,BL228)=0,"",CONCATENATE(" (難易度",INDEX('装備'!$L$52:$L$56,BL228),")")),IF(INDEX('装備'!$D$52:$D$56,BL228)&lt;=1,"",CONCATENATE(" x",INDEX('装備'!$D$52:$D$56,BL228)))))</f>
      </c>
      <c r="B234" s="1821"/>
      <c r="C234" s="1821"/>
      <c r="D234" s="1821"/>
      <c r="E234" s="1821"/>
      <c r="F234" s="1821"/>
      <c r="G234" s="1821"/>
      <c r="H234" s="1821"/>
      <c r="I234" s="1821"/>
      <c r="J234" s="1821"/>
      <c r="K234" s="1821"/>
      <c r="L234" s="1821"/>
      <c r="M234" s="1821"/>
      <c r="N234" s="1821"/>
      <c r="O234" s="1821"/>
      <c r="P234" s="1821"/>
      <c r="Q234" s="1821"/>
      <c r="R234" s="1821"/>
      <c r="S234" s="1821"/>
      <c r="T234" s="1821"/>
      <c r="U234" s="1821"/>
      <c r="V234" s="1821"/>
      <c r="W234" s="1821"/>
      <c r="X234" s="1821"/>
      <c r="Y234" s="1822"/>
      <c r="Z234" s="1838">
        <f>IF(INDEX('装備'!$I$52:$I$56,BL228)=0,"",INDEX('装備'!$I$52:$I$56,BL228))</f>
      </c>
      <c r="AA234" s="1839"/>
      <c r="AB234" s="1213">
        <f>IF(INDEX('装備'!$J$52:$J$56,BL228)=0,"",INDEX('装備'!$J$52:$J$56,BL228))</f>
      </c>
      <c r="AC234" s="1215"/>
      <c r="AD234" s="1208">
        <f>IF(INDEX('装備'!$F$52:$F$56,BL228)=0,"",INDEX('装備'!$F$52:$F$56,BL228))</f>
      </c>
      <c r="AE234" s="1209"/>
      <c r="AF234" s="1210"/>
      <c r="AG234" s="1211">
        <f>IF(INDEX('装備'!$C$43:$C$51,BM228)=0,"",INDEX('装備'!$B$43:$B$51,BM228))</f>
      </c>
      <c r="AH234" s="1212"/>
      <c r="AI234" s="1212"/>
      <c r="AJ234" s="1212"/>
      <c r="AK234" s="1212"/>
      <c r="AL234" s="1212"/>
      <c r="AM234" s="1212"/>
      <c r="AN234" s="1212"/>
      <c r="AO234" s="1213">
        <f>IF(INDEX('装備'!$C$43:$C$51,BM228)=0,"",INDEX('装備'!$C$43:$C$51,BM228))</f>
      </c>
      <c r="AP234" s="1214"/>
      <c r="AQ234" s="1214"/>
      <c r="AR234" s="1214"/>
      <c r="AS234" s="1214"/>
      <c r="AT234" s="1214"/>
      <c r="AU234" s="1214"/>
      <c r="AV234" s="1214"/>
      <c r="AW234" s="1214"/>
      <c r="AX234" s="1214"/>
      <c r="AY234" s="1214"/>
      <c r="AZ234" s="1214"/>
      <c r="BA234" s="1214"/>
      <c r="BB234" s="1215"/>
      <c r="BC234" s="1225">
        <f>IF(INDEX('装備'!$I$43:$I$51,BM228)=0,"",INDEX('装備'!$I$43:$I$51,BM228))</f>
      </c>
      <c r="BD234" s="1225"/>
      <c r="BE234" s="1225">
        <f>IF(INDEX('装備'!$J$43:$J$51,BM228)=0,"",INDEX('装備'!$J$43:$J$51,BM228))</f>
      </c>
      <c r="BF234" s="1225"/>
      <c r="BG234" s="1225">
        <f>IF(INDEX('装備'!$K$43:$K$51,BM228)=0,"",INDEX('装備'!$K$43:$K$51,BM228))</f>
      </c>
      <c r="BH234" s="1225"/>
      <c r="BI234" s="1226">
        <f>IF(INDEX('装備'!$F$43:$F$51,BM228)=0,"",INDEX('装備'!$F$43:$F$51,BM228))</f>
      </c>
      <c r="BJ234" s="1209"/>
      <c r="BK234" s="1210"/>
      <c r="BL234" s="431"/>
      <c r="BM234" s="431"/>
      <c r="BN234" s="1157">
        <f>IF(INDEX('装備'!$C$59:$C$121,CX234)=0,"",CONCATENATE(INDEX('装備'!$C$59:$C$121,CX234),IF(INDEX('装備'!$K$59:$K$121,CX234)=0,"",CONCATENATE(" (",INDEX('装備'!$K$59:$K$121,CX234),"チャージ)")),IF(INDEX('装備'!$L$59:$L$121,CX234)=0,"",CONCATENATE(" (難易度",INDEX('装備'!$L$59:$L$121,CX234),")")),IF(INDEX('装備'!$D$59:$D$121,CX234)&lt;=1,"",CONCATENATE(" x",INDEX('装備'!$D$59:$D$121,CX234)))))</f>
      </c>
      <c r="BO234" s="1158"/>
      <c r="BP234" s="1158"/>
      <c r="BQ234" s="1158"/>
      <c r="BR234" s="1158"/>
      <c r="BS234" s="1158"/>
      <c r="BT234" s="1158"/>
      <c r="BU234" s="1158"/>
      <c r="BV234" s="1158"/>
      <c r="BW234" s="1158"/>
      <c r="BX234" s="1158"/>
      <c r="BY234" s="1158"/>
      <c r="BZ234" s="1158"/>
      <c r="CA234" s="1158"/>
      <c r="CB234" s="1158"/>
      <c r="CC234" s="1158"/>
      <c r="CD234" s="1158"/>
      <c r="CE234" s="1158"/>
      <c r="CF234" s="1158"/>
      <c r="CG234" s="1158"/>
      <c r="CH234" s="1158"/>
      <c r="CI234" s="1158"/>
      <c r="CJ234" s="1158"/>
      <c r="CK234" s="1158"/>
      <c r="CL234" s="1158"/>
      <c r="CM234" s="1158"/>
      <c r="CN234" s="1158"/>
      <c r="CO234" s="1158"/>
      <c r="CP234" s="1192">
        <f>IF(INDEX('装備'!$D$59:$D$121,CX234)=0,"",INDEX('装備'!$D$59:$D$121,CX234))</f>
      </c>
      <c r="CQ234" s="1192"/>
      <c r="CR234" s="1192">
        <f>IF(INDEX('装備'!$I$59:$I$121,CX234)=0,"",INDEX('装備'!$I$59:$I$121,CX234))</f>
      </c>
      <c r="CS234" s="1192"/>
      <c r="CT234" s="1192">
        <f>IF(INDEX('装備'!$J$59:$J$121,CX234)=0,"",INDEX('装備'!$J$59:$J$121,CX234))</f>
      </c>
      <c r="CU234" s="1192"/>
      <c r="CV234" s="1192">
        <f>IF(INDEX('装備'!$F$59:$F$121,CX234)=0,"",INDEX('装備'!$F$59:$F$121,CX234))</f>
      </c>
      <c r="CW234" s="1193"/>
      <c r="CX234" s="1195">
        <v>54</v>
      </c>
      <c r="CY234" s="1196"/>
    </row>
    <row r="235" spans="1:103" ht="21" customHeight="1">
      <c r="A235" s="1820">
        <f>IF(INDEX('装備'!$C$52:$C$56,BL229)=0,"",CONCATENATE(INDEX('装備'!$C$52:$C$56,BL229),IF(INDEX('装備'!$K$52:$K$56,BL229)=0,"",CONCATENATE(" (",INDEX('装備'!$K$52:$K$56,BL229),"チャージ)")),IF(INDEX('装備'!$L$52:$L$56,BL229)=0,"",CONCATENATE(" (難易度",INDEX('装備'!$L$52:$L$56,BL229),")")),IF(INDEX('装備'!$D$52:$D$56,BL229)&lt;=1,"",CONCATENATE(" x",INDEX('装備'!$D$52:$D$56,BL229)))))</f>
      </c>
      <c r="B235" s="1821"/>
      <c r="C235" s="1821"/>
      <c r="D235" s="1821"/>
      <c r="E235" s="1821"/>
      <c r="F235" s="1821"/>
      <c r="G235" s="1821"/>
      <c r="H235" s="1821"/>
      <c r="I235" s="1821"/>
      <c r="J235" s="1821"/>
      <c r="K235" s="1821"/>
      <c r="L235" s="1821"/>
      <c r="M235" s="1821"/>
      <c r="N235" s="1821"/>
      <c r="O235" s="1821"/>
      <c r="P235" s="1821"/>
      <c r="Q235" s="1821"/>
      <c r="R235" s="1821"/>
      <c r="S235" s="1821"/>
      <c r="T235" s="1821"/>
      <c r="U235" s="1821"/>
      <c r="V235" s="1821"/>
      <c r="W235" s="1821"/>
      <c r="X235" s="1821"/>
      <c r="Y235" s="1822"/>
      <c r="Z235" s="1838">
        <f>IF(INDEX('装備'!$I$52:$I$56,BL229)=0,"",INDEX('装備'!$I$52:$I$56,BL229))</f>
      </c>
      <c r="AA235" s="1839"/>
      <c r="AB235" s="1213">
        <f>IF(INDEX('装備'!$J$52:$J$56,BL229)=0,"",INDEX('装備'!$J$52:$J$56,BL229))</f>
      </c>
      <c r="AC235" s="1215"/>
      <c r="AD235" s="1208">
        <f>IF(INDEX('装備'!$F$52:$F$56,BL229)=0,"",INDEX('装備'!$F$52:$F$56,BL229))</f>
      </c>
      <c r="AE235" s="1209"/>
      <c r="AF235" s="1210"/>
      <c r="AG235" s="1211">
        <f>IF(INDEX('装備'!$C$43:$C$51,BM229)=0,"",INDEX('装備'!$B$43:$B$51,BM229))</f>
      </c>
      <c r="AH235" s="1212"/>
      <c r="AI235" s="1212"/>
      <c r="AJ235" s="1212"/>
      <c r="AK235" s="1212"/>
      <c r="AL235" s="1212"/>
      <c r="AM235" s="1212"/>
      <c r="AN235" s="1212"/>
      <c r="AO235" s="1213">
        <f>IF(INDEX('装備'!$C$43:$C$51,BM229)=0,"",INDEX('装備'!$C$43:$C$51,BM229))</f>
      </c>
      <c r="AP235" s="1214"/>
      <c r="AQ235" s="1214"/>
      <c r="AR235" s="1214"/>
      <c r="AS235" s="1214"/>
      <c r="AT235" s="1214"/>
      <c r="AU235" s="1214"/>
      <c r="AV235" s="1214"/>
      <c r="AW235" s="1214"/>
      <c r="AX235" s="1214"/>
      <c r="AY235" s="1214"/>
      <c r="AZ235" s="1214"/>
      <c r="BA235" s="1214"/>
      <c r="BB235" s="1215"/>
      <c r="BC235" s="1225">
        <f>IF(INDEX('装備'!$I$43:$I$51,BM229)=0,"",INDEX('装備'!$I$43:$I$51,BM229))</f>
      </c>
      <c r="BD235" s="1225"/>
      <c r="BE235" s="1225">
        <f>IF(INDEX('装備'!$J$43:$J$51,BM229)=0,"",INDEX('装備'!$J$43:$J$51,BM229))</f>
      </c>
      <c r="BF235" s="1225"/>
      <c r="BG235" s="1225">
        <f>IF(INDEX('装備'!$K$43:$K$51,BM229)=0,"",INDEX('装備'!$K$43:$K$51,BM229))</f>
      </c>
      <c r="BH235" s="1225"/>
      <c r="BI235" s="1226">
        <f>IF(INDEX('装備'!$F$43:$F$51,BM229)=0,"",INDEX('装備'!$F$43:$F$51,BM229))</f>
      </c>
      <c r="BJ235" s="1209"/>
      <c r="BK235" s="1210"/>
      <c r="BL235" s="431"/>
      <c r="BM235" s="431"/>
      <c r="BN235" s="1157">
        <f>IF(INDEX('装備'!$C$59:$C$121,CX235)=0,"",CONCATENATE(INDEX('装備'!$C$59:$C$121,CX235),IF(INDEX('装備'!$K$59:$K$121,CX235)=0,"",CONCATENATE(" (",INDEX('装備'!$K$59:$K$121,CX235),"チャージ)")),IF(INDEX('装備'!$L$59:$L$121,CX235)=0,"",CONCATENATE(" (難易度",INDEX('装備'!$L$59:$L$121,CX235),")")),IF(INDEX('装備'!$D$59:$D$121,CX235)&lt;=1,"",CONCATENATE(" x",INDEX('装備'!$D$59:$D$121,CX235)))))</f>
      </c>
      <c r="BO235" s="1158"/>
      <c r="BP235" s="1158"/>
      <c r="BQ235" s="1158"/>
      <c r="BR235" s="1158"/>
      <c r="BS235" s="1158"/>
      <c r="BT235" s="1158"/>
      <c r="BU235" s="1158"/>
      <c r="BV235" s="1158"/>
      <c r="BW235" s="1158"/>
      <c r="BX235" s="1158"/>
      <c r="BY235" s="1158"/>
      <c r="BZ235" s="1158"/>
      <c r="CA235" s="1158"/>
      <c r="CB235" s="1158"/>
      <c r="CC235" s="1158"/>
      <c r="CD235" s="1158"/>
      <c r="CE235" s="1158"/>
      <c r="CF235" s="1158"/>
      <c r="CG235" s="1158"/>
      <c r="CH235" s="1158"/>
      <c r="CI235" s="1158"/>
      <c r="CJ235" s="1158"/>
      <c r="CK235" s="1158"/>
      <c r="CL235" s="1158"/>
      <c r="CM235" s="1158"/>
      <c r="CN235" s="1158"/>
      <c r="CO235" s="1158"/>
      <c r="CP235" s="1192">
        <f>IF(INDEX('装備'!$D$59:$D$121,CX235)=0,"",INDEX('装備'!$D$59:$D$121,CX235))</f>
      </c>
      <c r="CQ235" s="1192"/>
      <c r="CR235" s="1192">
        <f>IF(INDEX('装備'!$I$59:$I$121,CX235)=0,"",INDEX('装備'!$I$59:$I$121,CX235))</f>
      </c>
      <c r="CS235" s="1192"/>
      <c r="CT235" s="1192">
        <f>IF(INDEX('装備'!$J$59:$J$121,CX235)=0,"",INDEX('装備'!$J$59:$J$121,CX235))</f>
      </c>
      <c r="CU235" s="1192"/>
      <c r="CV235" s="1192">
        <f>IF(INDEX('装備'!$F$59:$F$121,CX235)=0,"",INDEX('装備'!$F$59:$F$121,CX235))</f>
      </c>
      <c r="CW235" s="1193"/>
      <c r="CX235" s="1195">
        <v>55</v>
      </c>
      <c r="CY235" s="1196"/>
    </row>
    <row r="236" spans="1:103" ht="21" customHeight="1">
      <c r="A236" s="1820">
        <f>IF(INDEX('装備'!$C$52:$C$56,BL230)=0,"",CONCATENATE(INDEX('装備'!$C$52:$C$56,BL230),IF(INDEX('装備'!$K$52:$K$56,BL230)=0,"",CONCATENATE(" (",INDEX('装備'!$K$52:$K$56,BL230),"チャージ)")),IF(INDEX('装備'!$L$52:$L$56,BL230)=0,"",CONCATENATE(" (難易度",INDEX('装備'!$L$52:$L$56,BL230),")")),IF(INDEX('装備'!$D$52:$D$56,BL230)&lt;=1,"",CONCATENATE(" x",INDEX('装備'!$D$52:$D$56,BL230)))))</f>
      </c>
      <c r="B236" s="1821"/>
      <c r="C236" s="1821"/>
      <c r="D236" s="1821"/>
      <c r="E236" s="1821"/>
      <c r="F236" s="1821"/>
      <c r="G236" s="1821"/>
      <c r="H236" s="1821"/>
      <c r="I236" s="1821"/>
      <c r="J236" s="1821"/>
      <c r="K236" s="1821"/>
      <c r="L236" s="1821"/>
      <c r="M236" s="1821"/>
      <c r="N236" s="1821"/>
      <c r="O236" s="1821"/>
      <c r="P236" s="1821"/>
      <c r="Q236" s="1821"/>
      <c r="R236" s="1821"/>
      <c r="S236" s="1821"/>
      <c r="T236" s="1821"/>
      <c r="U236" s="1821"/>
      <c r="V236" s="1821"/>
      <c r="W236" s="1821"/>
      <c r="X236" s="1821"/>
      <c r="Y236" s="1822"/>
      <c r="Z236" s="1838">
        <f>IF(INDEX('装備'!$I$52:$I$56,BL230)=0,"",INDEX('装備'!$I$52:$I$56,BL230))</f>
      </c>
      <c r="AA236" s="1839"/>
      <c r="AB236" s="1213">
        <f>IF(INDEX('装備'!$J$52:$J$56,BL230)=0,"",INDEX('装備'!$J$52:$J$56,BL230))</f>
      </c>
      <c r="AC236" s="1215"/>
      <c r="AD236" s="1208">
        <f>IF(INDEX('装備'!$F$52:$F$56,BL230)=0,"",INDEX('装備'!$F$52:$F$56,BL230))</f>
      </c>
      <c r="AE236" s="1209"/>
      <c r="AF236" s="1210"/>
      <c r="AG236" s="1211">
        <f>IF(INDEX('装備'!$C$43:$C$51,BM230)=0,"",INDEX('装備'!$B$43:$B$51,BM230))</f>
      </c>
      <c r="AH236" s="1212"/>
      <c r="AI236" s="1212"/>
      <c r="AJ236" s="1212"/>
      <c r="AK236" s="1212"/>
      <c r="AL236" s="1212"/>
      <c r="AM236" s="1212"/>
      <c r="AN236" s="1212"/>
      <c r="AO236" s="1213">
        <f>IF(INDEX('装備'!$C$43:$C$51,BM230)=0,"",INDEX('装備'!$C$43:$C$51,BM230))</f>
      </c>
      <c r="AP236" s="1214"/>
      <c r="AQ236" s="1214"/>
      <c r="AR236" s="1214"/>
      <c r="AS236" s="1214"/>
      <c r="AT236" s="1214"/>
      <c r="AU236" s="1214"/>
      <c r="AV236" s="1214"/>
      <c r="AW236" s="1214"/>
      <c r="AX236" s="1214"/>
      <c r="AY236" s="1214"/>
      <c r="AZ236" s="1214"/>
      <c r="BA236" s="1214"/>
      <c r="BB236" s="1215"/>
      <c r="BC236" s="1225">
        <f>IF(INDEX('装備'!$I$43:$I$51,BM230)=0,"",INDEX('装備'!$I$43:$I$51,BM230))</f>
      </c>
      <c r="BD236" s="1225"/>
      <c r="BE236" s="1225">
        <f>IF(INDEX('装備'!$J$43:$J$51,BM230)=0,"",INDEX('装備'!$J$43:$J$51,BM230))</f>
      </c>
      <c r="BF236" s="1225"/>
      <c r="BG236" s="1225">
        <f>IF(INDEX('装備'!$K$43:$K$51,BM230)=0,"",INDEX('装備'!$K$43:$K$51,BM230))</f>
      </c>
      <c r="BH236" s="1225"/>
      <c r="BI236" s="1226">
        <f>IF(INDEX('装備'!$F$43:$F$51,BM230)=0,"",INDEX('装備'!$F$43:$F$51,BM230))</f>
      </c>
      <c r="BJ236" s="1209"/>
      <c r="BK236" s="1210"/>
      <c r="BL236" s="431"/>
      <c r="BM236" s="431"/>
      <c r="BN236" s="1157">
        <f>IF(INDEX('装備'!$C$59:$C$121,CX236)=0,"",CONCATENATE(INDEX('装備'!$C$59:$C$121,CX236),IF(INDEX('装備'!$K$59:$K$121,CX236)=0,"",CONCATENATE(" (",INDEX('装備'!$K$59:$K$121,CX236),"チャージ)")),IF(INDEX('装備'!$L$59:$L$121,CX236)=0,"",CONCATENATE(" (難易度",INDEX('装備'!$L$59:$L$121,CX236),")")),IF(INDEX('装備'!$D$59:$D$121,CX236)&lt;=1,"",CONCATENATE(" x",INDEX('装備'!$D$59:$D$121,CX236)))))</f>
      </c>
      <c r="BO236" s="1158"/>
      <c r="BP236" s="1158"/>
      <c r="BQ236" s="1158"/>
      <c r="BR236" s="1158"/>
      <c r="BS236" s="1158"/>
      <c r="BT236" s="1158"/>
      <c r="BU236" s="1158"/>
      <c r="BV236" s="1158"/>
      <c r="BW236" s="1158"/>
      <c r="BX236" s="1158"/>
      <c r="BY236" s="1158"/>
      <c r="BZ236" s="1158"/>
      <c r="CA236" s="1158"/>
      <c r="CB236" s="1158"/>
      <c r="CC236" s="1158"/>
      <c r="CD236" s="1158"/>
      <c r="CE236" s="1158"/>
      <c r="CF236" s="1158"/>
      <c r="CG236" s="1158"/>
      <c r="CH236" s="1158"/>
      <c r="CI236" s="1158"/>
      <c r="CJ236" s="1158"/>
      <c r="CK236" s="1158"/>
      <c r="CL236" s="1158"/>
      <c r="CM236" s="1158"/>
      <c r="CN236" s="1158"/>
      <c r="CO236" s="1158"/>
      <c r="CP236" s="1192">
        <f>IF(INDEX('装備'!$D$59:$D$121,CX236)=0,"",INDEX('装備'!$D$59:$D$121,CX236))</f>
      </c>
      <c r="CQ236" s="1192"/>
      <c r="CR236" s="1192">
        <f>IF(INDEX('装備'!$I$59:$I$121,CX236)=0,"",INDEX('装備'!$I$59:$I$121,CX236))</f>
      </c>
      <c r="CS236" s="1192"/>
      <c r="CT236" s="1192">
        <f>IF(INDEX('装備'!$J$59:$J$121,CX236)=0,"",INDEX('装備'!$J$59:$J$121,CX236))</f>
      </c>
      <c r="CU236" s="1192"/>
      <c r="CV236" s="1192">
        <f>IF(INDEX('装備'!$F$59:$F$121,CX236)=0,"",INDEX('装備'!$F$59:$F$121,CX236))</f>
      </c>
      <c r="CW236" s="1193"/>
      <c r="CX236" s="1195">
        <v>56</v>
      </c>
      <c r="CY236" s="1196"/>
    </row>
    <row r="237" spans="1:103" ht="21" customHeight="1">
      <c r="A237" s="1774">
        <f>IF(INDEX('装備'!$C$52:$C$56,BL231)=0,"",CONCATENATE(INDEX('装備'!$C$52:$C$56,BL231),IF(INDEX('装備'!$K$52:$K$56,BL231)=0,"",CONCATENATE(" (",INDEX('装備'!$K$52:$K$56,BL231),"チャージ)")),IF(INDEX('装備'!$L$52:$L$56,BL231)=0,"",CONCATENATE(" (難易度",INDEX('装備'!$L$52:$L$56,BL231),")")),IF(INDEX('装備'!$D$52:$D$56,BL231)&lt;=1,"",CONCATENATE(" x",INDEX('装備'!$D$52:$D$56,BL231)))))</f>
      </c>
      <c r="B237" s="1775"/>
      <c r="C237" s="1775"/>
      <c r="D237" s="1775"/>
      <c r="E237" s="1775"/>
      <c r="F237" s="1775"/>
      <c r="G237" s="1775"/>
      <c r="H237" s="1775"/>
      <c r="I237" s="1775"/>
      <c r="J237" s="1775"/>
      <c r="K237" s="1775"/>
      <c r="L237" s="1775"/>
      <c r="M237" s="1775"/>
      <c r="N237" s="1775"/>
      <c r="O237" s="1775"/>
      <c r="P237" s="1775"/>
      <c r="Q237" s="1775"/>
      <c r="R237" s="1775"/>
      <c r="S237" s="1775"/>
      <c r="T237" s="1775"/>
      <c r="U237" s="1775"/>
      <c r="V237" s="1775"/>
      <c r="W237" s="1775"/>
      <c r="X237" s="1775"/>
      <c r="Y237" s="1776"/>
      <c r="Z237" s="1857">
        <f>IF(INDEX('装備'!$I$52:$I$56,BL231)=0,"",INDEX('装備'!$I$52:$I$56,BL231))</f>
      </c>
      <c r="AA237" s="1858"/>
      <c r="AB237" s="1859">
        <f>IF(INDEX('装備'!$J$52:$J$56,BL231)=0,"",INDEX('装備'!$J$52:$J$56,BL231))</f>
      </c>
      <c r="AC237" s="1860"/>
      <c r="AD237" s="1685">
        <f>IF(INDEX('装備'!$F$52:$F$56,BL231)=0,"",INDEX('装備'!$F$52:$F$56,BL231))</f>
      </c>
      <c r="AE237" s="1686"/>
      <c r="AF237" s="1687"/>
      <c r="AG237" s="1651" t="s">
        <v>740</v>
      </c>
      <c r="AH237" s="1652"/>
      <c r="AI237" s="1652"/>
      <c r="AJ237" s="1652"/>
      <c r="AK237" s="1652"/>
      <c r="AL237" s="1652"/>
      <c r="AM237" s="1652"/>
      <c r="AN237" s="1652"/>
      <c r="AO237" s="1652"/>
      <c r="AP237" s="1652"/>
      <c r="AQ237" s="1652"/>
      <c r="AR237" s="1652"/>
      <c r="AS237" s="1652"/>
      <c r="AT237" s="1652"/>
      <c r="AU237" s="1652"/>
      <c r="AV237" s="1652"/>
      <c r="AW237" s="1652"/>
      <c r="AX237" s="1652"/>
      <c r="AY237" s="1652"/>
      <c r="AZ237" s="1652"/>
      <c r="BA237" s="1652"/>
      <c r="BB237" s="1652"/>
      <c r="BC237" s="1652"/>
      <c r="BD237" s="1652"/>
      <c r="BE237" s="1652"/>
      <c r="BF237" s="1652"/>
      <c r="BG237" s="1652"/>
      <c r="BH237" s="1653"/>
      <c r="BI237" s="1751">
        <f>IF('装備'!K2=0,"",SUM(AD216:AF221,AD223:AF226,AD228:AF231,AD233:AF237,BI216:BK236))</f>
        <v>45</v>
      </c>
      <c r="BJ237" s="1752"/>
      <c r="BK237" s="1753"/>
      <c r="BL237" s="431"/>
      <c r="BM237" s="431"/>
      <c r="BN237" s="1157">
        <f>IF(INDEX('装備'!$C$59:$C$121,CX237)=0,"",CONCATENATE(INDEX('装備'!$C$59:$C$121,CX237),IF(INDEX('装備'!$K$59:$K$121,CX237)=0,"",CONCATENATE(" (",INDEX('装備'!$K$59:$K$121,CX237),"チャージ)")),IF(INDEX('装備'!$L$59:$L$121,CX237)=0,"",CONCATENATE(" (難易度",INDEX('装備'!$L$59:$L$121,CX237),")")),IF(INDEX('装備'!$D$59:$D$121,CX237)&lt;=1,"",CONCATENATE(" x",INDEX('装備'!$D$59:$D$121,CX237)))))</f>
      </c>
      <c r="BO237" s="1158"/>
      <c r="BP237" s="1158"/>
      <c r="BQ237" s="1158"/>
      <c r="BR237" s="1158"/>
      <c r="BS237" s="1158"/>
      <c r="BT237" s="1158"/>
      <c r="BU237" s="1158"/>
      <c r="BV237" s="1158"/>
      <c r="BW237" s="1158"/>
      <c r="BX237" s="1158"/>
      <c r="BY237" s="1158"/>
      <c r="BZ237" s="1158"/>
      <c r="CA237" s="1158"/>
      <c r="CB237" s="1158"/>
      <c r="CC237" s="1158"/>
      <c r="CD237" s="1158"/>
      <c r="CE237" s="1158"/>
      <c r="CF237" s="1158"/>
      <c r="CG237" s="1158"/>
      <c r="CH237" s="1158"/>
      <c r="CI237" s="1158"/>
      <c r="CJ237" s="1158"/>
      <c r="CK237" s="1158"/>
      <c r="CL237" s="1158"/>
      <c r="CM237" s="1158"/>
      <c r="CN237" s="1158"/>
      <c r="CO237" s="1158"/>
      <c r="CP237" s="1192">
        <f>IF(INDEX('装備'!$D$59:$D$121,CX237)=0,"",INDEX('装備'!$D$59:$D$121,CX237))</f>
      </c>
      <c r="CQ237" s="1192"/>
      <c r="CR237" s="1192">
        <f>IF(INDEX('装備'!$I$59:$I$121,CX237)=0,"",INDEX('装備'!$I$59:$I$121,CX237))</f>
      </c>
      <c r="CS237" s="1192"/>
      <c r="CT237" s="1192">
        <f>IF(INDEX('装備'!$J$59:$J$121,CX237)=0,"",INDEX('装備'!$J$59:$J$121,CX237))</f>
      </c>
      <c r="CU237" s="1192"/>
      <c r="CV237" s="1192">
        <f>IF(INDEX('装備'!$F$59:$F$121,CX237)=0,"",INDEX('装備'!$F$59:$F$121,CX237))</f>
      </c>
      <c r="CW237" s="1193"/>
      <c r="CX237" s="1195">
        <v>57</v>
      </c>
      <c r="CY237" s="1196"/>
    </row>
    <row r="238" spans="1:103" ht="21" customHeight="1">
      <c r="A238" s="509"/>
      <c r="B238" s="509"/>
      <c r="C238" s="509"/>
      <c r="D238" s="509"/>
      <c r="E238" s="509"/>
      <c r="F238" s="509"/>
      <c r="G238" s="509"/>
      <c r="H238" s="509"/>
      <c r="I238" s="509"/>
      <c r="J238" s="509"/>
      <c r="K238" s="509"/>
      <c r="L238" s="509"/>
      <c r="M238" s="509"/>
      <c r="N238" s="509"/>
      <c r="O238" s="509"/>
      <c r="P238" s="509"/>
      <c r="Q238" s="509"/>
      <c r="R238" s="509"/>
      <c r="S238" s="509"/>
      <c r="T238" s="509"/>
      <c r="U238" s="509"/>
      <c r="V238" s="509"/>
      <c r="W238" s="509"/>
      <c r="X238" s="510"/>
      <c r="Y238" s="510"/>
      <c r="Z238" s="503"/>
      <c r="AA238" s="503"/>
      <c r="AB238" s="503"/>
      <c r="AC238" s="503"/>
      <c r="AD238" s="503"/>
      <c r="AE238" s="503"/>
      <c r="AF238" s="503"/>
      <c r="AG238" s="503"/>
      <c r="AH238" s="503"/>
      <c r="AI238" s="503"/>
      <c r="AJ238" s="503"/>
      <c r="AK238" s="503"/>
      <c r="AL238" s="503"/>
      <c r="AM238" s="503"/>
      <c r="AN238" s="503"/>
      <c r="AO238" s="503"/>
      <c r="AP238" s="503"/>
      <c r="AQ238" s="503"/>
      <c r="AR238" s="503"/>
      <c r="AS238" s="503"/>
      <c r="AT238" s="503"/>
      <c r="AU238" s="503"/>
      <c r="AV238" s="503"/>
      <c r="AW238" s="503"/>
      <c r="AX238" s="503"/>
      <c r="AY238" s="503"/>
      <c r="AZ238" s="503"/>
      <c r="BA238" s="503"/>
      <c r="BB238" s="503"/>
      <c r="BC238" s="503"/>
      <c r="BD238" s="503"/>
      <c r="BE238" s="503"/>
      <c r="BF238" s="503"/>
      <c r="BG238" s="503"/>
      <c r="BH238" s="503"/>
      <c r="BI238" s="503"/>
      <c r="BJ238" s="503"/>
      <c r="BK238" s="503"/>
      <c r="BL238" s="431"/>
      <c r="BM238" s="431"/>
      <c r="BN238" s="1669">
        <f>IF(INDEX('装備'!$C$59:$C$121,CX238)=0,"",CONCATENATE(INDEX('装備'!$C$59:$C$121,CX238),IF(INDEX('装備'!$K$59:$K$121,CX238)=0,"",CONCATENATE(" (",INDEX('装備'!$K$59:$K$121,CX238),"チャージ)")),IF(INDEX('装備'!$L$59:$L$121,CX238)=0,"",CONCATENATE(" (難易度",INDEX('装備'!$L$59:$L$121,CX238),")")),IF(INDEX('装備'!$D$59:$D$121,CX238)&lt;=1,"",CONCATENATE(" x",INDEX('装備'!$D$59:$D$121,CX238)))))</f>
      </c>
      <c r="BO238" s="1874"/>
      <c r="BP238" s="1874"/>
      <c r="BQ238" s="1874"/>
      <c r="BR238" s="1874"/>
      <c r="BS238" s="1874"/>
      <c r="BT238" s="1874"/>
      <c r="BU238" s="1874"/>
      <c r="BV238" s="1874"/>
      <c r="BW238" s="1874"/>
      <c r="BX238" s="1874"/>
      <c r="BY238" s="1874"/>
      <c r="BZ238" s="1874"/>
      <c r="CA238" s="1874"/>
      <c r="CB238" s="1874"/>
      <c r="CC238" s="1874"/>
      <c r="CD238" s="1874"/>
      <c r="CE238" s="1874"/>
      <c r="CF238" s="1874"/>
      <c r="CG238" s="1874"/>
      <c r="CH238" s="1874"/>
      <c r="CI238" s="1874"/>
      <c r="CJ238" s="1874"/>
      <c r="CK238" s="1874"/>
      <c r="CL238" s="1874"/>
      <c r="CM238" s="1874"/>
      <c r="CN238" s="1874"/>
      <c r="CO238" s="1875"/>
      <c r="CP238" s="1675">
        <f>IF(INDEX('装備'!$D$59:$D$121,CX238)=0,"",INDEX('装備'!$D$59:$D$121,CX238))</f>
      </c>
      <c r="CQ238" s="1879"/>
      <c r="CR238" s="1882">
        <f>IF(INDEX('装備'!$I$59:$I$121,CX238)=0,"",INDEX('装備'!$I$59:$I$121,CX238))</f>
      </c>
      <c r="CS238" s="1883"/>
      <c r="CT238" s="1882">
        <f>IF(INDEX('装備'!$J$59:$J$121,CX238)=0,"",INDEX('装備'!$J$59:$J$121,CX238))</f>
      </c>
      <c r="CU238" s="1883"/>
      <c r="CV238" s="1882">
        <f>IF(INDEX('装備'!$F$59:$F$121,CX238)=0,"",INDEX('装備'!$F$59:$F$121,CX238))</f>
      </c>
      <c r="CW238" s="1884"/>
      <c r="CX238" s="1195">
        <v>58</v>
      </c>
      <c r="CY238" s="1199"/>
    </row>
    <row r="239" spans="1:103" ht="21" customHeight="1" thickBot="1">
      <c r="A239" s="1613" t="s">
        <v>882</v>
      </c>
      <c r="B239" s="1614"/>
      <c r="C239" s="1614"/>
      <c r="D239" s="1614"/>
      <c r="E239" s="1614"/>
      <c r="F239" s="1614"/>
      <c r="G239" s="1614"/>
      <c r="H239" s="1614"/>
      <c r="I239" s="1614"/>
      <c r="J239" s="1614"/>
      <c r="K239" s="1614"/>
      <c r="L239" s="1614"/>
      <c r="M239" s="1614"/>
      <c r="N239" s="1614"/>
      <c r="O239" s="1614"/>
      <c r="P239" s="1614"/>
      <c r="Q239" s="1614"/>
      <c r="R239" s="1614"/>
      <c r="S239" s="1614"/>
      <c r="T239" s="1614"/>
      <c r="U239" s="1614"/>
      <c r="V239" s="1614"/>
      <c r="W239" s="1615"/>
      <c r="X239" s="511"/>
      <c r="Y239" s="1746" t="s">
        <v>881</v>
      </c>
      <c r="Z239" s="1747"/>
      <c r="AA239" s="1747"/>
      <c r="AB239" s="1747"/>
      <c r="AC239" s="1747"/>
      <c r="AD239" s="1747"/>
      <c r="AE239" s="1747"/>
      <c r="AF239" s="1747"/>
      <c r="AG239" s="1747"/>
      <c r="AH239" s="1747"/>
      <c r="AI239" s="1747"/>
      <c r="AJ239" s="1747"/>
      <c r="AK239" s="1747"/>
      <c r="AL239" s="1747"/>
      <c r="AM239" s="1747"/>
      <c r="AN239" s="1747"/>
      <c r="AO239" s="1747"/>
      <c r="AP239" s="1748"/>
      <c r="AQ239" s="512"/>
      <c r="AR239" s="1803" t="str">
        <f>"STR:"&amp;' 印刷'!H13</f>
        <v>STR:24</v>
      </c>
      <c r="AS239" s="1803"/>
      <c r="AT239" s="1803"/>
      <c r="AU239" s="1803"/>
      <c r="AV239" s="1803"/>
      <c r="AW239" s="1803"/>
      <c r="AX239" s="513"/>
      <c r="AY239" s="1804" t="s">
        <v>724</v>
      </c>
      <c r="AZ239" s="1804"/>
      <c r="BA239" s="1804"/>
      <c r="BB239" s="1804"/>
      <c r="BC239" s="1804"/>
      <c r="BD239" s="1804"/>
      <c r="BE239" s="513"/>
      <c r="BF239" s="1777" t="s">
        <v>725</v>
      </c>
      <c r="BG239" s="1777"/>
      <c r="BH239" s="1777"/>
      <c r="BI239" s="1777"/>
      <c r="BJ239" s="1777"/>
      <c r="BK239" s="1777"/>
      <c r="BL239" s="431"/>
      <c r="BM239" s="431"/>
      <c r="BN239" s="1876"/>
      <c r="BO239" s="1877"/>
      <c r="BP239" s="1877"/>
      <c r="BQ239" s="1877"/>
      <c r="BR239" s="1877"/>
      <c r="BS239" s="1877"/>
      <c r="BT239" s="1877"/>
      <c r="BU239" s="1877"/>
      <c r="BV239" s="1877"/>
      <c r="BW239" s="1877"/>
      <c r="BX239" s="1877"/>
      <c r="BY239" s="1877"/>
      <c r="BZ239" s="1877"/>
      <c r="CA239" s="1877"/>
      <c r="CB239" s="1877"/>
      <c r="CC239" s="1877"/>
      <c r="CD239" s="1877"/>
      <c r="CE239" s="1877"/>
      <c r="CF239" s="1877"/>
      <c r="CG239" s="1877"/>
      <c r="CH239" s="1877"/>
      <c r="CI239" s="1877"/>
      <c r="CJ239" s="1877"/>
      <c r="CK239" s="1877"/>
      <c r="CL239" s="1877"/>
      <c r="CM239" s="1877"/>
      <c r="CN239" s="1877"/>
      <c r="CO239" s="1878"/>
      <c r="CP239" s="1880"/>
      <c r="CQ239" s="1881"/>
      <c r="CR239" s="1882"/>
      <c r="CS239" s="1883"/>
      <c r="CT239" s="1882"/>
      <c r="CU239" s="1883"/>
      <c r="CV239" s="1882"/>
      <c r="CW239" s="1884"/>
      <c r="CX239" s="1195">
        <v>59</v>
      </c>
      <c r="CY239" s="1199"/>
    </row>
    <row r="240" spans="1:103" ht="21" customHeight="1" thickBot="1">
      <c r="A240" s="1616"/>
      <c r="B240" s="1617"/>
      <c r="C240" s="1617"/>
      <c r="D240" s="1617"/>
      <c r="E240" s="1617"/>
      <c r="F240" s="1617"/>
      <c r="G240" s="1617"/>
      <c r="H240" s="1617"/>
      <c r="I240" s="1617"/>
      <c r="J240" s="1617"/>
      <c r="K240" s="1617"/>
      <c r="L240" s="1617"/>
      <c r="M240" s="1617"/>
      <c r="N240" s="1617"/>
      <c r="O240" s="1617"/>
      <c r="P240" s="1617"/>
      <c r="Q240" s="1617"/>
      <c r="R240" s="1617"/>
      <c r="S240" s="1617"/>
      <c r="T240" s="1617"/>
      <c r="U240" s="1617"/>
      <c r="V240" s="1617"/>
      <c r="W240" s="1618"/>
      <c r="X240" s="514"/>
      <c r="Y240" s="1746"/>
      <c r="Z240" s="1747"/>
      <c r="AA240" s="1747"/>
      <c r="AB240" s="1747"/>
      <c r="AC240" s="1747"/>
      <c r="AD240" s="1747"/>
      <c r="AE240" s="1747"/>
      <c r="AF240" s="1747"/>
      <c r="AG240" s="1747"/>
      <c r="AH240" s="1747"/>
      <c r="AI240" s="1747"/>
      <c r="AJ240" s="1747"/>
      <c r="AK240" s="1747"/>
      <c r="AL240" s="1747"/>
      <c r="AM240" s="1747"/>
      <c r="AN240" s="1747"/>
      <c r="AO240" s="1747"/>
      <c r="AP240" s="1748"/>
      <c r="AQ240" s="512"/>
      <c r="AR240" s="1803"/>
      <c r="AS240" s="1803"/>
      <c r="AT240" s="1803"/>
      <c r="AU240" s="1803"/>
      <c r="AV240" s="1803"/>
      <c r="AW240" s="1803"/>
      <c r="AX240" s="513"/>
      <c r="AY240" s="1804"/>
      <c r="AZ240" s="1804"/>
      <c r="BA240" s="1804"/>
      <c r="BB240" s="1804"/>
      <c r="BC240" s="1804"/>
      <c r="BD240" s="1804"/>
      <c r="BE240" s="513"/>
      <c r="BF240" s="1778"/>
      <c r="BG240" s="1778"/>
      <c r="BH240" s="1778"/>
      <c r="BI240" s="1778"/>
      <c r="BJ240" s="1778"/>
      <c r="BK240" s="1778"/>
      <c r="BL240" s="431"/>
      <c r="BM240" s="431"/>
      <c r="BN240" s="1669">
        <f>IF(INDEX('装備'!$C$59:$C$121,CX240)=0,"",CONCATENATE(INDEX('装備'!$C$59:$C$121,CX240),IF(INDEX('装備'!$K$59:$K$121,CX240)=0,"",CONCATENATE(" (",INDEX('装備'!$K$59:$K$121,CX240),"チャージ)")),IF(INDEX('装備'!$L$59:$L$121,CX240)=0,"",CONCATENATE(" (難易度",INDEX('装備'!$L$59:$L$121,CX240),")")),IF(INDEX('装備'!$D$59:$D$121,CX240)&lt;=1,"",CONCATENATE(" x",INDEX('装備'!$D$59:$D$121,CX240)))))</f>
      </c>
      <c r="BO240" s="1874"/>
      <c r="BP240" s="1874"/>
      <c r="BQ240" s="1874"/>
      <c r="BR240" s="1874"/>
      <c r="BS240" s="1874"/>
      <c r="BT240" s="1874"/>
      <c r="BU240" s="1874"/>
      <c r="BV240" s="1874"/>
      <c r="BW240" s="1874"/>
      <c r="BX240" s="1874"/>
      <c r="BY240" s="1874"/>
      <c r="BZ240" s="1874"/>
      <c r="CA240" s="1874"/>
      <c r="CB240" s="1874"/>
      <c r="CC240" s="1874"/>
      <c r="CD240" s="1874"/>
      <c r="CE240" s="1874"/>
      <c r="CF240" s="1874"/>
      <c r="CG240" s="1874"/>
      <c r="CH240" s="1874"/>
      <c r="CI240" s="1874"/>
      <c r="CJ240" s="1874"/>
      <c r="CK240" s="1874"/>
      <c r="CL240" s="1874"/>
      <c r="CM240" s="1874"/>
      <c r="CN240" s="1874"/>
      <c r="CO240" s="1875"/>
      <c r="CP240" s="1882">
        <f>IF(INDEX('装備'!$D$59:$D$121,CX240)=0,"",INDEX('装備'!$D$59:$D$121,CX240))</f>
      </c>
      <c r="CQ240" s="1885"/>
      <c r="CR240" s="1882">
        <f>IF(INDEX('装備'!$I$59:$I$121,CX240)=0,"",INDEX('装備'!$I$59:$I$121,CX240))</f>
      </c>
      <c r="CS240" s="1883"/>
      <c r="CT240" s="1882">
        <f>IF(INDEX('装備'!$J$59:$J$121,CX240)=0,"",INDEX('装備'!$J$59:$J$121,CX240))</f>
      </c>
      <c r="CU240" s="1883"/>
      <c r="CV240" s="1882">
        <f>IF(INDEX('装備'!$F$59:$F$121,CX240)=0,"",INDEX('装備'!$F$59:$F$121,CX240))</f>
      </c>
      <c r="CW240" s="1884"/>
      <c r="CX240" s="1195">
        <v>60</v>
      </c>
      <c r="CY240" s="1199"/>
    </row>
    <row r="241" spans="1:103" ht="21" customHeight="1" thickBot="1">
      <c r="A241" s="1854" t="s">
        <v>726</v>
      </c>
      <c r="B241" s="1204"/>
      <c r="C241" s="1871">
        <f>IF('装備'!N3=0," ",'装備'!N3)</f>
        <v>90</v>
      </c>
      <c r="D241" s="1871"/>
      <c r="E241" s="1871"/>
      <c r="F241" s="1871"/>
      <c r="G241" s="1871"/>
      <c r="H241" s="1871"/>
      <c r="I241" s="1871"/>
      <c r="J241" s="1871"/>
      <c r="K241" s="1871"/>
      <c r="L241" s="1871"/>
      <c r="M241" s="1865" t="s">
        <v>727</v>
      </c>
      <c r="N241" s="1866"/>
      <c r="O241" s="1787" t="str">
        <f>IF('装備'!N5=0," ",'装備'!N5)</f>
        <v> </v>
      </c>
      <c r="P241" s="1787"/>
      <c r="Q241" s="1787"/>
      <c r="R241" s="1787"/>
      <c r="S241" s="1787"/>
      <c r="T241" s="1787"/>
      <c r="U241" s="1787"/>
      <c r="V241" s="1787"/>
      <c r="W241" s="1788"/>
      <c r="X241" s="435"/>
      <c r="Y241" s="1754" t="str">
        <f>IF('能力'!AQ60=0," ",'能力'!AQ60)</f>
        <v> </v>
      </c>
      <c r="Z241" s="1755"/>
      <c r="AA241" s="1755"/>
      <c r="AB241" s="1755"/>
      <c r="AC241" s="1755"/>
      <c r="AD241" s="1755"/>
      <c r="AE241" s="1755"/>
      <c r="AF241" s="1755"/>
      <c r="AG241" s="1755"/>
      <c r="AH241" s="1755"/>
      <c r="AI241" s="1755"/>
      <c r="AJ241" s="1755"/>
      <c r="AK241" s="1755"/>
      <c r="AL241" s="1755"/>
      <c r="AM241" s="1755"/>
      <c r="AN241" s="1755"/>
      <c r="AO241" s="1755"/>
      <c r="AP241" s="1756"/>
      <c r="AQ241" s="512"/>
      <c r="AR241" s="1791" t="s">
        <v>728</v>
      </c>
      <c r="AS241" s="1791"/>
      <c r="AT241" s="1791"/>
      <c r="AU241" s="1791"/>
      <c r="AV241" s="1791"/>
      <c r="AW241" s="1791"/>
      <c r="AX241" s="513"/>
      <c r="AY241" s="1805"/>
      <c r="AZ241" s="1805"/>
      <c r="BA241" s="1805"/>
      <c r="BB241" s="1805"/>
      <c r="BC241" s="1805"/>
      <c r="BD241" s="1805"/>
      <c r="BE241" s="513"/>
      <c r="BF241" s="1679" t="str">
        <f>"～"&amp;'能力'!AN84*2&amp;" lbs"</f>
        <v>～1400 lbs</v>
      </c>
      <c r="BG241" s="1680"/>
      <c r="BH241" s="1680"/>
      <c r="BI241" s="1680"/>
      <c r="BJ241" s="1680"/>
      <c r="BK241" s="1681"/>
      <c r="BL241" s="431"/>
      <c r="BM241" s="431"/>
      <c r="BN241" s="1876"/>
      <c r="BO241" s="1877"/>
      <c r="BP241" s="1877"/>
      <c r="BQ241" s="1877"/>
      <c r="BR241" s="1877"/>
      <c r="BS241" s="1877"/>
      <c r="BT241" s="1877"/>
      <c r="BU241" s="1877"/>
      <c r="BV241" s="1877"/>
      <c r="BW241" s="1877"/>
      <c r="BX241" s="1877"/>
      <c r="BY241" s="1877"/>
      <c r="BZ241" s="1877"/>
      <c r="CA241" s="1877"/>
      <c r="CB241" s="1877"/>
      <c r="CC241" s="1877"/>
      <c r="CD241" s="1877"/>
      <c r="CE241" s="1877"/>
      <c r="CF241" s="1877"/>
      <c r="CG241" s="1877"/>
      <c r="CH241" s="1877"/>
      <c r="CI241" s="1877"/>
      <c r="CJ241" s="1877"/>
      <c r="CK241" s="1877"/>
      <c r="CL241" s="1877"/>
      <c r="CM241" s="1877"/>
      <c r="CN241" s="1877"/>
      <c r="CO241" s="1878"/>
      <c r="CP241" s="1880"/>
      <c r="CQ241" s="1885"/>
      <c r="CR241" s="1882"/>
      <c r="CS241" s="1883"/>
      <c r="CT241" s="1882"/>
      <c r="CU241" s="1883"/>
      <c r="CV241" s="1882"/>
      <c r="CW241" s="1884"/>
      <c r="CX241" s="1195">
        <v>61</v>
      </c>
      <c r="CY241" s="1199"/>
    </row>
    <row r="242" spans="1:103" ht="21" customHeight="1" thickBot="1">
      <c r="A242" s="1855"/>
      <c r="B242" s="1856"/>
      <c r="C242" s="1789"/>
      <c r="D242" s="1789"/>
      <c r="E242" s="1789"/>
      <c r="F242" s="1789"/>
      <c r="G242" s="1789"/>
      <c r="H242" s="1789"/>
      <c r="I242" s="1789"/>
      <c r="J242" s="1789"/>
      <c r="K242" s="1789"/>
      <c r="L242" s="1789"/>
      <c r="M242" s="1855"/>
      <c r="N242" s="1856"/>
      <c r="O242" s="1789"/>
      <c r="P242" s="1789"/>
      <c r="Q242" s="1789"/>
      <c r="R242" s="1789"/>
      <c r="S242" s="1789"/>
      <c r="T242" s="1789"/>
      <c r="U242" s="1789"/>
      <c r="V242" s="1789"/>
      <c r="W242" s="1790"/>
      <c r="X242" s="435"/>
      <c r="Y242" s="1757"/>
      <c r="Z242" s="1758"/>
      <c r="AA242" s="1758"/>
      <c r="AB242" s="1758"/>
      <c r="AC242" s="1758"/>
      <c r="AD242" s="1758"/>
      <c r="AE242" s="1758"/>
      <c r="AF242" s="1758"/>
      <c r="AG242" s="1758"/>
      <c r="AH242" s="1758"/>
      <c r="AI242" s="1758"/>
      <c r="AJ242" s="1758"/>
      <c r="AK242" s="1758"/>
      <c r="AL242" s="1758"/>
      <c r="AM242" s="1758"/>
      <c r="AN242" s="1758"/>
      <c r="AO242" s="1758"/>
      <c r="AP242" s="1759"/>
      <c r="AQ242" s="512"/>
      <c r="AR242" s="1679" t="str">
        <f>"～"&amp;'能力'!AJ84&amp;" lbs"</f>
        <v>～233 lbs</v>
      </c>
      <c r="AS242" s="1680"/>
      <c r="AT242" s="1680"/>
      <c r="AU242" s="1680"/>
      <c r="AV242" s="1680"/>
      <c r="AW242" s="1681"/>
      <c r="AX242" s="515"/>
      <c r="AY242" s="1679" t="str">
        <f>IF('装備'!K2=0," ",'装備'!E5)</f>
        <v>Light</v>
      </c>
      <c r="AZ242" s="1680"/>
      <c r="BA242" s="1680"/>
      <c r="BB242" s="1680"/>
      <c r="BC242" s="1680"/>
      <c r="BD242" s="1681"/>
      <c r="BE242" s="513"/>
      <c r="BF242" s="1682"/>
      <c r="BG242" s="1683"/>
      <c r="BH242" s="1683"/>
      <c r="BI242" s="1683"/>
      <c r="BJ242" s="1683"/>
      <c r="BK242" s="1684"/>
      <c r="BL242" s="431"/>
      <c r="BM242" s="431"/>
      <c r="BN242" s="1669">
        <f>IF(INDEX('装備'!$C$59:$C$121,CX242)=0,"",CONCATENATE(INDEX('装備'!$C$59:$C$121,CX242),IF(INDEX('装備'!$K$59:$K$121,CX242)=0,"",CONCATENATE(" (",INDEX('装備'!$K$59:$K$121,CX242),"チャージ)")),IF(INDEX('装備'!$L$59:$L$121,CX242)=0,"",CONCATENATE(" (難易度",INDEX('装備'!$L$59:$L$121,CX242),")")),IF(INDEX('装備'!$D$59:$D$121,CX242)&lt;=1,"",CONCATENATE(" x",INDEX('装備'!$D$59:$D$121,CX242)))))</f>
      </c>
      <c r="BO242" s="1874"/>
      <c r="BP242" s="1874"/>
      <c r="BQ242" s="1874"/>
      <c r="BR242" s="1874"/>
      <c r="BS242" s="1874"/>
      <c r="BT242" s="1874"/>
      <c r="BU242" s="1874"/>
      <c r="BV242" s="1874"/>
      <c r="BW242" s="1874"/>
      <c r="BX242" s="1874"/>
      <c r="BY242" s="1874"/>
      <c r="BZ242" s="1874"/>
      <c r="CA242" s="1874"/>
      <c r="CB242" s="1874"/>
      <c r="CC242" s="1874"/>
      <c r="CD242" s="1874"/>
      <c r="CE242" s="1874"/>
      <c r="CF242" s="1874"/>
      <c r="CG242" s="1874"/>
      <c r="CH242" s="1874"/>
      <c r="CI242" s="1874"/>
      <c r="CJ242" s="1874"/>
      <c r="CK242" s="1874"/>
      <c r="CL242" s="1874"/>
      <c r="CM242" s="1874"/>
      <c r="CN242" s="1874"/>
      <c r="CO242" s="1875"/>
      <c r="CP242" s="1882">
        <f>IF(INDEX('装備'!$D$59:$D$121,CX242)=0,"",INDEX('装備'!$D$59:$D$121,CX242))</f>
      </c>
      <c r="CQ242" s="1885"/>
      <c r="CR242" s="1882">
        <f>IF(INDEX('装備'!$I$59:$I$121,CX242)=0,"",INDEX('装備'!$I$59:$I$121,CX242))</f>
      </c>
      <c r="CS242" s="1883"/>
      <c r="CT242" s="1882">
        <f>IF(INDEX('装備'!$J$59:$J$121,CX242)=0,"",INDEX('装備'!$J$59:$J$121,CX242))</f>
      </c>
      <c r="CU242" s="1883"/>
      <c r="CV242" s="1882">
        <f>IF(INDEX('装備'!$F$59:$F$121,CX242)=0,"",INDEX('装備'!$F$59:$F$121,CX242))</f>
      </c>
      <c r="CW242" s="1884"/>
      <c r="CX242" s="1195">
        <v>62</v>
      </c>
      <c r="CY242" s="1199"/>
    </row>
    <row r="243" spans="1:103" ht="21" customHeight="1" thickBot="1">
      <c r="A243" s="1779" t="s">
        <v>729</v>
      </c>
      <c r="B243" s="1780"/>
      <c r="C243" s="1783" t="str">
        <f>IF('装備'!N4=0," ",'装備'!N4)</f>
        <v> </v>
      </c>
      <c r="D243" s="1783"/>
      <c r="E243" s="1783"/>
      <c r="F243" s="1783"/>
      <c r="G243" s="1783"/>
      <c r="H243" s="1783"/>
      <c r="I243" s="1783"/>
      <c r="J243" s="1783"/>
      <c r="K243" s="1783"/>
      <c r="L243" s="1783"/>
      <c r="M243" s="1779" t="s">
        <v>730</v>
      </c>
      <c r="N243" s="1780"/>
      <c r="O243" s="1783" t="str">
        <f>IF('装備'!N6=0," ",'装備'!N6)</f>
        <v> </v>
      </c>
      <c r="P243" s="1783"/>
      <c r="Q243" s="1783"/>
      <c r="R243" s="1783"/>
      <c r="S243" s="1783"/>
      <c r="T243" s="1783"/>
      <c r="U243" s="1783"/>
      <c r="V243" s="1783"/>
      <c r="W243" s="1784"/>
      <c r="X243" s="434"/>
      <c r="Y243" s="1760"/>
      <c r="Z243" s="1761"/>
      <c r="AA243" s="1761"/>
      <c r="AB243" s="1761"/>
      <c r="AC243" s="1761"/>
      <c r="AD243" s="1761"/>
      <c r="AE243" s="1761"/>
      <c r="AF243" s="1761"/>
      <c r="AG243" s="1761"/>
      <c r="AH243" s="1761"/>
      <c r="AI243" s="1761"/>
      <c r="AJ243" s="1761"/>
      <c r="AK243" s="1761"/>
      <c r="AL243" s="1761"/>
      <c r="AM243" s="1761"/>
      <c r="AN243" s="1761"/>
      <c r="AO243" s="1761"/>
      <c r="AP243" s="1762"/>
      <c r="AQ243" s="512"/>
      <c r="AR243" s="1682"/>
      <c r="AS243" s="1683"/>
      <c r="AT243" s="1683"/>
      <c r="AU243" s="1683"/>
      <c r="AV243" s="1683"/>
      <c r="AW243" s="1684"/>
      <c r="AX243" s="515"/>
      <c r="AY243" s="1682"/>
      <c r="AZ243" s="1683"/>
      <c r="BA243" s="1683"/>
      <c r="BB243" s="1683"/>
      <c r="BC243" s="1683"/>
      <c r="BD243" s="1684"/>
      <c r="BE243" s="513"/>
      <c r="BF243" s="1777" t="s">
        <v>731</v>
      </c>
      <c r="BG243" s="1777"/>
      <c r="BH243" s="1777"/>
      <c r="BI243" s="1777"/>
      <c r="BJ243" s="1777"/>
      <c r="BK243" s="1777"/>
      <c r="BL243" s="431"/>
      <c r="BM243" s="431"/>
      <c r="BN243" s="1876"/>
      <c r="BO243" s="1877"/>
      <c r="BP243" s="1877"/>
      <c r="BQ243" s="1877"/>
      <c r="BR243" s="1877"/>
      <c r="BS243" s="1877"/>
      <c r="BT243" s="1877"/>
      <c r="BU243" s="1877"/>
      <c r="BV243" s="1877"/>
      <c r="BW243" s="1877"/>
      <c r="BX243" s="1877"/>
      <c r="BY243" s="1877"/>
      <c r="BZ243" s="1877"/>
      <c r="CA243" s="1877"/>
      <c r="CB243" s="1877"/>
      <c r="CC243" s="1877"/>
      <c r="CD243" s="1877"/>
      <c r="CE243" s="1877"/>
      <c r="CF243" s="1877"/>
      <c r="CG243" s="1877"/>
      <c r="CH243" s="1877"/>
      <c r="CI243" s="1877"/>
      <c r="CJ243" s="1877"/>
      <c r="CK243" s="1877"/>
      <c r="CL243" s="1877"/>
      <c r="CM243" s="1877"/>
      <c r="CN243" s="1877"/>
      <c r="CO243" s="1878"/>
      <c r="CP243" s="1880"/>
      <c r="CQ243" s="1885"/>
      <c r="CR243" s="1882"/>
      <c r="CS243" s="1883"/>
      <c r="CT243" s="1882"/>
      <c r="CU243" s="1883"/>
      <c r="CV243" s="1882"/>
      <c r="CW243" s="1884"/>
      <c r="CX243" s="1195">
        <v>63</v>
      </c>
      <c r="CY243" s="1199"/>
    </row>
    <row r="244" spans="1:103" ht="21" customHeight="1" thickBot="1">
      <c r="A244" s="1781"/>
      <c r="B244" s="1782"/>
      <c r="C244" s="1785"/>
      <c r="D244" s="1785"/>
      <c r="E244" s="1785"/>
      <c r="F244" s="1785"/>
      <c r="G244" s="1785"/>
      <c r="H244" s="1785"/>
      <c r="I244" s="1785"/>
      <c r="J244" s="1785"/>
      <c r="K244" s="1785"/>
      <c r="L244" s="1785"/>
      <c r="M244" s="1781"/>
      <c r="N244" s="1782"/>
      <c r="O244" s="1785"/>
      <c r="P244" s="1785"/>
      <c r="Q244" s="1785"/>
      <c r="R244" s="1785"/>
      <c r="S244" s="1785"/>
      <c r="T244" s="1785"/>
      <c r="U244" s="1785"/>
      <c r="V244" s="1785"/>
      <c r="W244" s="1786"/>
      <c r="X244" s="434"/>
      <c r="Y244" s="1763"/>
      <c r="Z244" s="1764"/>
      <c r="AA244" s="1764"/>
      <c r="AB244" s="1764"/>
      <c r="AC244" s="1764"/>
      <c r="AD244" s="1764"/>
      <c r="AE244" s="1764"/>
      <c r="AF244" s="1764"/>
      <c r="AG244" s="1764"/>
      <c r="AH244" s="1764"/>
      <c r="AI244" s="1764"/>
      <c r="AJ244" s="1764"/>
      <c r="AK244" s="1764"/>
      <c r="AL244" s="1764"/>
      <c r="AM244" s="1764"/>
      <c r="AN244" s="1764"/>
      <c r="AO244" s="1764"/>
      <c r="AP244" s="1765"/>
      <c r="AQ244" s="512"/>
      <c r="AR244" s="1744" t="s">
        <v>732</v>
      </c>
      <c r="AS244" s="1744"/>
      <c r="AT244" s="1744"/>
      <c r="AU244" s="1744"/>
      <c r="AV244" s="1744"/>
      <c r="AW244" s="1744"/>
      <c r="AX244" s="1802" t="s">
        <v>733</v>
      </c>
      <c r="AY244" s="1802"/>
      <c r="AZ244" s="1802"/>
      <c r="BA244" s="1802"/>
      <c r="BB244" s="1802"/>
      <c r="BC244" s="1802"/>
      <c r="BD244" s="1802"/>
      <c r="BE244" s="1802"/>
      <c r="BF244" s="1778"/>
      <c r="BG244" s="1778"/>
      <c r="BH244" s="1778"/>
      <c r="BI244" s="1778"/>
      <c r="BJ244" s="1778"/>
      <c r="BK244" s="1778"/>
      <c r="BL244" s="431"/>
      <c r="BM244" s="431"/>
      <c r="BN244" s="1669"/>
      <c r="BO244" s="1874"/>
      <c r="BP244" s="1874"/>
      <c r="BQ244" s="1874"/>
      <c r="BR244" s="1874"/>
      <c r="BS244" s="1874"/>
      <c r="BT244" s="1874"/>
      <c r="BU244" s="1874"/>
      <c r="BV244" s="1874"/>
      <c r="BW244" s="1874"/>
      <c r="BX244" s="1874"/>
      <c r="BY244" s="1874"/>
      <c r="BZ244" s="1874"/>
      <c r="CA244" s="1874"/>
      <c r="CB244" s="1874"/>
      <c r="CC244" s="1874"/>
      <c r="CD244" s="1874"/>
      <c r="CE244" s="1874"/>
      <c r="CF244" s="1874"/>
      <c r="CG244" s="1874"/>
      <c r="CH244" s="1874"/>
      <c r="CI244" s="1874"/>
      <c r="CJ244" s="1874"/>
      <c r="CK244" s="1874"/>
      <c r="CL244" s="1874"/>
      <c r="CM244" s="1874"/>
      <c r="CN244" s="1874"/>
      <c r="CO244" s="1875"/>
      <c r="CP244" s="1882"/>
      <c r="CQ244" s="1885"/>
      <c r="CR244" s="1882"/>
      <c r="CS244" s="1883"/>
      <c r="CT244" s="1882"/>
      <c r="CU244" s="1883"/>
      <c r="CV244" s="1882"/>
      <c r="CW244" s="1884"/>
      <c r="CX244" s="1195"/>
      <c r="CY244" s="1199"/>
    </row>
    <row r="245" spans="1:103" ht="21" customHeight="1">
      <c r="A245" s="1861" t="s">
        <v>742</v>
      </c>
      <c r="B245" s="1862"/>
      <c r="C245" s="1862"/>
      <c r="D245" s="1862"/>
      <c r="E245" s="1862"/>
      <c r="F245" s="1862"/>
      <c r="G245" s="1862"/>
      <c r="H245" s="1862"/>
      <c r="I245" s="1862"/>
      <c r="J245" s="1862"/>
      <c r="K245" s="1862"/>
      <c r="L245" s="1862"/>
      <c r="M245" s="1862"/>
      <c r="N245" s="1862"/>
      <c r="O245" s="1844" t="str">
        <f>IF('装備'!N7=0," ",'装備'!N7)&amp;" lbs"</f>
        <v>1.8 lbs</v>
      </c>
      <c r="P245" s="1845"/>
      <c r="Q245" s="1845"/>
      <c r="R245" s="1845"/>
      <c r="S245" s="1845"/>
      <c r="T245" s="1845"/>
      <c r="U245" s="1845"/>
      <c r="V245" s="1845"/>
      <c r="W245" s="1846"/>
      <c r="X245" s="434"/>
      <c r="Y245" s="1867" t="s">
        <v>741</v>
      </c>
      <c r="Z245" s="1868"/>
      <c r="AA245" s="1868"/>
      <c r="AB245" s="1868"/>
      <c r="AC245" s="1868"/>
      <c r="AD245" s="1868"/>
      <c r="AE245" s="1868"/>
      <c r="AF245" s="1850" t="str">
        <f>IF('能力'!AQ60=0," ",'能力'!AY60)</f>
        <v> </v>
      </c>
      <c r="AG245" s="1850"/>
      <c r="AH245" s="1850"/>
      <c r="AI245" s="1850"/>
      <c r="AJ245" s="1850"/>
      <c r="AK245" s="1850"/>
      <c r="AL245" s="1850"/>
      <c r="AM245" s="1850"/>
      <c r="AN245" s="1850"/>
      <c r="AO245" s="1850"/>
      <c r="AP245" s="1851"/>
      <c r="AQ245" s="512"/>
      <c r="AR245" s="1679" t="str">
        <f>"～"&amp;'能力'!AL84&amp;" lbs"</f>
        <v>～466 lbs</v>
      </c>
      <c r="AS245" s="1680"/>
      <c r="AT245" s="1680"/>
      <c r="AU245" s="1680"/>
      <c r="AV245" s="1680"/>
      <c r="AW245" s="1681"/>
      <c r="AX245" s="515"/>
      <c r="AY245" s="1679">
        <f>IF('装備'!K2=0," ",IF('装備'!H6&gt;'能力'!AN84,"行動不可",IF('装備'!H6&gt;'能力'!AL84,-6,IF('装備'!H6&gt;'能力'!AJ84,-3,0))))</f>
        <v>0</v>
      </c>
      <c r="AZ245" s="1680"/>
      <c r="BA245" s="1680"/>
      <c r="BB245" s="1680"/>
      <c r="BC245" s="1680"/>
      <c r="BD245" s="1681"/>
      <c r="BE245" s="513"/>
      <c r="BF245" s="1679" t="str">
        <f>"～"&amp;'能力'!AN84&amp;" lbs"</f>
        <v>～700 lbs</v>
      </c>
      <c r="BG245" s="1680"/>
      <c r="BH245" s="1680"/>
      <c r="BI245" s="1680"/>
      <c r="BJ245" s="1680"/>
      <c r="BK245" s="1681"/>
      <c r="BL245" s="441"/>
      <c r="BM245" s="441"/>
      <c r="BN245" s="1876"/>
      <c r="BO245" s="1877"/>
      <c r="BP245" s="1877"/>
      <c r="BQ245" s="1877"/>
      <c r="BR245" s="1877"/>
      <c r="BS245" s="1877"/>
      <c r="BT245" s="1877"/>
      <c r="BU245" s="1877"/>
      <c r="BV245" s="1877"/>
      <c r="BW245" s="1877"/>
      <c r="BX245" s="1877"/>
      <c r="BY245" s="1877"/>
      <c r="BZ245" s="1877"/>
      <c r="CA245" s="1877"/>
      <c r="CB245" s="1877"/>
      <c r="CC245" s="1877"/>
      <c r="CD245" s="1877"/>
      <c r="CE245" s="1877"/>
      <c r="CF245" s="1877"/>
      <c r="CG245" s="1877"/>
      <c r="CH245" s="1877"/>
      <c r="CI245" s="1877"/>
      <c r="CJ245" s="1877"/>
      <c r="CK245" s="1877"/>
      <c r="CL245" s="1877"/>
      <c r="CM245" s="1877"/>
      <c r="CN245" s="1877"/>
      <c r="CO245" s="1878"/>
      <c r="CP245" s="1880"/>
      <c r="CQ245" s="1885"/>
      <c r="CR245" s="1882"/>
      <c r="CS245" s="1883"/>
      <c r="CT245" s="1882"/>
      <c r="CU245" s="1883"/>
      <c r="CV245" s="1882"/>
      <c r="CW245" s="1884"/>
      <c r="CX245" s="1195"/>
      <c r="CY245" s="1199"/>
    </row>
    <row r="246" spans="1:103" ht="10.5" customHeight="1" thickBot="1">
      <c r="A246" s="1863"/>
      <c r="B246" s="1864"/>
      <c r="C246" s="1864"/>
      <c r="D246" s="1864"/>
      <c r="E246" s="1864"/>
      <c r="F246" s="1864"/>
      <c r="G246" s="1864"/>
      <c r="H246" s="1864"/>
      <c r="I246" s="1864"/>
      <c r="J246" s="1864"/>
      <c r="K246" s="1864"/>
      <c r="L246" s="1864"/>
      <c r="M246" s="1864"/>
      <c r="N246" s="1864"/>
      <c r="O246" s="1847"/>
      <c r="P246" s="1848"/>
      <c r="Q246" s="1848"/>
      <c r="R246" s="1848"/>
      <c r="S246" s="1848"/>
      <c r="T246" s="1848"/>
      <c r="U246" s="1848"/>
      <c r="V246" s="1848"/>
      <c r="W246" s="1849"/>
      <c r="X246" s="434"/>
      <c r="Y246" s="1869"/>
      <c r="Z246" s="1870"/>
      <c r="AA246" s="1870"/>
      <c r="AB246" s="1870"/>
      <c r="AC246" s="1870"/>
      <c r="AD246" s="1870"/>
      <c r="AE246" s="1870"/>
      <c r="AF246" s="1852"/>
      <c r="AG246" s="1852"/>
      <c r="AH246" s="1852"/>
      <c r="AI246" s="1852"/>
      <c r="AJ246" s="1852"/>
      <c r="AK246" s="1852"/>
      <c r="AL246" s="1852"/>
      <c r="AM246" s="1852"/>
      <c r="AN246" s="1852"/>
      <c r="AO246" s="1852"/>
      <c r="AP246" s="1853"/>
      <c r="AQ246" s="512"/>
      <c r="AR246" s="1682"/>
      <c r="AS246" s="1683"/>
      <c r="AT246" s="1683"/>
      <c r="AU246" s="1683"/>
      <c r="AV246" s="1683"/>
      <c r="AW246" s="1684"/>
      <c r="AX246" s="515"/>
      <c r="AY246" s="1682"/>
      <c r="AZ246" s="1683"/>
      <c r="BA246" s="1683"/>
      <c r="BB246" s="1683"/>
      <c r="BC246" s="1683"/>
      <c r="BD246" s="1684"/>
      <c r="BE246" s="513"/>
      <c r="BF246" s="1682"/>
      <c r="BG246" s="1683"/>
      <c r="BH246" s="1683"/>
      <c r="BI246" s="1683"/>
      <c r="BJ246" s="1683"/>
      <c r="BK246" s="1684"/>
      <c r="BL246" s="441"/>
      <c r="BM246" s="441"/>
      <c r="BN246" s="1669"/>
      <c r="BO246" s="1670"/>
      <c r="BP246" s="1670"/>
      <c r="BQ246" s="1670"/>
      <c r="BR246" s="1670"/>
      <c r="BS246" s="1670"/>
      <c r="BT246" s="1670"/>
      <c r="BU246" s="1670"/>
      <c r="BV246" s="1670"/>
      <c r="BW246" s="1670"/>
      <c r="BX246" s="1670"/>
      <c r="BY246" s="1670"/>
      <c r="BZ246" s="1670"/>
      <c r="CA246" s="1670"/>
      <c r="CB246" s="1670"/>
      <c r="CC246" s="1670"/>
      <c r="CD246" s="1670"/>
      <c r="CE246" s="1670"/>
      <c r="CF246" s="1670"/>
      <c r="CG246" s="1670"/>
      <c r="CH246" s="1670"/>
      <c r="CI246" s="1670"/>
      <c r="CJ246" s="1670"/>
      <c r="CK246" s="1670"/>
      <c r="CL246" s="1670"/>
      <c r="CM246" s="1670"/>
      <c r="CN246" s="1670"/>
      <c r="CO246" s="1671"/>
      <c r="CP246" s="1675"/>
      <c r="CQ246" s="1676"/>
      <c r="CR246" s="1192"/>
      <c r="CS246" s="1192"/>
      <c r="CT246" s="1192"/>
      <c r="CU246" s="1192"/>
      <c r="CV246" s="1192"/>
      <c r="CW246" s="1193"/>
      <c r="CX246" s="1195"/>
      <c r="CY246" s="1196"/>
    </row>
    <row r="247" spans="1:103" ht="10.5" customHeight="1" thickBot="1">
      <c r="A247" s="441"/>
      <c r="B247" s="441"/>
      <c r="C247" s="441"/>
      <c r="D247" s="441"/>
      <c r="E247" s="441"/>
      <c r="F247" s="441"/>
      <c r="G247" s="441"/>
      <c r="H247" s="441"/>
      <c r="I247" s="441"/>
      <c r="J247" s="441"/>
      <c r="K247" s="441"/>
      <c r="L247" s="441"/>
      <c r="M247" s="441"/>
      <c r="N247" s="441"/>
      <c r="O247" s="441"/>
      <c r="P247" s="441"/>
      <c r="Q247" s="441"/>
      <c r="R247" s="441"/>
      <c r="S247" s="441"/>
      <c r="T247" s="441"/>
      <c r="U247" s="441"/>
      <c r="V247" s="441"/>
      <c r="W247" s="441"/>
      <c r="X247" s="434"/>
      <c r="Y247" s="434"/>
      <c r="Z247" s="441"/>
      <c r="AA247" s="441"/>
      <c r="AB247" s="441"/>
      <c r="AC247" s="441"/>
      <c r="AD247" s="441"/>
      <c r="AE247" s="441"/>
      <c r="AF247" s="516"/>
      <c r="AG247" s="441"/>
      <c r="AH247" s="441"/>
      <c r="AI247" s="441"/>
      <c r="AJ247" s="441"/>
      <c r="AK247" s="441"/>
      <c r="AL247" s="441"/>
      <c r="AM247" s="441"/>
      <c r="AN247" s="431"/>
      <c r="AO247" s="431"/>
      <c r="AP247" s="512"/>
      <c r="AQ247" s="512"/>
      <c r="AR247" s="1744" t="s">
        <v>734</v>
      </c>
      <c r="AS247" s="1744"/>
      <c r="AT247" s="1744"/>
      <c r="AU247" s="1744"/>
      <c r="AV247" s="1744"/>
      <c r="AW247" s="1744"/>
      <c r="AX247" s="513"/>
      <c r="AY247" s="1745" t="s">
        <v>735</v>
      </c>
      <c r="AZ247" s="1745"/>
      <c r="BA247" s="1745"/>
      <c r="BB247" s="1745"/>
      <c r="BC247" s="1745"/>
      <c r="BD247" s="1745"/>
      <c r="BE247" s="513"/>
      <c r="BF247" s="441"/>
      <c r="BG247" s="441"/>
      <c r="BH247" s="441"/>
      <c r="BI247" s="441"/>
      <c r="BJ247" s="441"/>
      <c r="BK247" s="441"/>
      <c r="BL247" s="441"/>
      <c r="BM247" s="441"/>
      <c r="BN247" s="1672"/>
      <c r="BO247" s="1673"/>
      <c r="BP247" s="1673"/>
      <c r="BQ247" s="1673"/>
      <c r="BR247" s="1673"/>
      <c r="BS247" s="1673"/>
      <c r="BT247" s="1673"/>
      <c r="BU247" s="1673"/>
      <c r="BV247" s="1673"/>
      <c r="BW247" s="1673"/>
      <c r="BX247" s="1673"/>
      <c r="BY247" s="1673"/>
      <c r="BZ247" s="1673"/>
      <c r="CA247" s="1673"/>
      <c r="CB247" s="1673"/>
      <c r="CC247" s="1673"/>
      <c r="CD247" s="1673"/>
      <c r="CE247" s="1673"/>
      <c r="CF247" s="1673"/>
      <c r="CG247" s="1673"/>
      <c r="CH247" s="1673"/>
      <c r="CI247" s="1673"/>
      <c r="CJ247" s="1673"/>
      <c r="CK247" s="1673"/>
      <c r="CL247" s="1673"/>
      <c r="CM247" s="1673"/>
      <c r="CN247" s="1673"/>
      <c r="CO247" s="1674"/>
      <c r="CP247" s="1677"/>
      <c r="CQ247" s="1678"/>
      <c r="CR247" s="1192"/>
      <c r="CS247" s="1192"/>
      <c r="CT247" s="1192"/>
      <c r="CU247" s="1192"/>
      <c r="CV247" s="1192"/>
      <c r="CW247" s="1193"/>
      <c r="CX247" s="1195"/>
      <c r="CY247" s="1196"/>
    </row>
    <row r="248" spans="1:103" ht="10.5" customHeight="1" thickBot="1">
      <c r="A248" s="1491" t="str">
        <f>IF(' 印刷'!A1&lt;&gt;"",' 印刷'!A1,"")</f>
        <v>   </v>
      </c>
      <c r="B248" s="1491"/>
      <c r="C248" s="1491"/>
      <c r="D248" s="1491"/>
      <c r="E248" s="1491"/>
      <c r="F248" s="1491"/>
      <c r="G248" s="1491"/>
      <c r="H248" s="1491"/>
      <c r="I248" s="1491"/>
      <c r="J248" s="1491"/>
      <c r="K248" s="1491"/>
      <c r="L248" s="1491"/>
      <c r="M248" s="1491"/>
      <c r="N248" s="1491"/>
      <c r="O248" s="1491"/>
      <c r="P248" s="1491"/>
      <c r="Q248" s="1491"/>
      <c r="R248" s="1491"/>
      <c r="S248" s="1491"/>
      <c r="T248" s="1491"/>
      <c r="U248" s="1491"/>
      <c r="V248" s="1491"/>
      <c r="W248" s="1491"/>
      <c r="X248" s="434"/>
      <c r="Y248" s="434"/>
      <c r="Z248" s="1504">
        <f>IF('能力'!H9=0,"",'能力'!H9)&amp;IF('能力'!H10=0,""," / ")&amp;IF('能力'!H10=0,"",'能力'!H10)</f>
      </c>
      <c r="AA248" s="1504"/>
      <c r="AB248" s="1504"/>
      <c r="AC248" s="1504"/>
      <c r="AD248" s="1504"/>
      <c r="AE248" s="1504"/>
      <c r="AF248" s="1504"/>
      <c r="AG248" s="1504"/>
      <c r="AH248" s="1504"/>
      <c r="AI248" s="1504"/>
      <c r="AJ248" s="1504"/>
      <c r="AK248" s="1504"/>
      <c r="AL248" s="1504"/>
      <c r="AM248" s="1504"/>
      <c r="AN248" s="1504"/>
      <c r="AO248" s="1504"/>
      <c r="AP248" s="441"/>
      <c r="AQ248" s="512"/>
      <c r="AR248" s="1679" t="str">
        <f>"～"&amp;'能力'!AN84&amp;" lbs"</f>
        <v>～700 lbs</v>
      </c>
      <c r="AS248" s="1680"/>
      <c r="AT248" s="1680"/>
      <c r="AU248" s="1680"/>
      <c r="AV248" s="1680"/>
      <c r="AW248" s="1681"/>
      <c r="AX248" s="515"/>
      <c r="AY248" s="1679" t="str">
        <f>IF('装備'!K2=0," ",IF(AY242="Medium","＋3",IF(AY242="Heavy","＋1","No Limit")))</f>
        <v>No Limit</v>
      </c>
      <c r="AZ248" s="1680"/>
      <c r="BA248" s="1680"/>
      <c r="BB248" s="1680"/>
      <c r="BC248" s="1680"/>
      <c r="BD248" s="1681"/>
      <c r="BE248" s="513"/>
      <c r="BF248" s="1743" t="s">
        <v>736</v>
      </c>
      <c r="BG248" s="1743"/>
      <c r="BH248" s="1743"/>
      <c r="BI248" s="1743"/>
      <c r="BJ248" s="1743"/>
      <c r="BK248" s="1743"/>
      <c r="BL248" s="441"/>
      <c r="BM248" s="441"/>
      <c r="BN248" s="1669"/>
      <c r="BO248" s="1670"/>
      <c r="BP248" s="1670"/>
      <c r="BQ248" s="1670"/>
      <c r="BR248" s="1670"/>
      <c r="BS248" s="1670"/>
      <c r="BT248" s="1670"/>
      <c r="BU248" s="1670"/>
      <c r="BV248" s="1670"/>
      <c r="BW248" s="1670"/>
      <c r="BX248" s="1670"/>
      <c r="BY248" s="1670"/>
      <c r="BZ248" s="1670"/>
      <c r="CA248" s="1670"/>
      <c r="CB248" s="1670"/>
      <c r="CC248" s="1670"/>
      <c r="CD248" s="1670"/>
      <c r="CE248" s="1670"/>
      <c r="CF248" s="1670"/>
      <c r="CG248" s="1670"/>
      <c r="CH248" s="1670"/>
      <c r="CI248" s="1670"/>
      <c r="CJ248" s="1670"/>
      <c r="CK248" s="1670"/>
      <c r="CL248" s="1670"/>
      <c r="CM248" s="1670"/>
      <c r="CN248" s="1670"/>
      <c r="CO248" s="1671"/>
      <c r="CP248" s="1675"/>
      <c r="CQ248" s="1676"/>
      <c r="CR248" s="1192"/>
      <c r="CS248" s="1192"/>
      <c r="CT248" s="1192"/>
      <c r="CU248" s="1192"/>
      <c r="CV248" s="1192"/>
      <c r="CW248" s="1193"/>
      <c r="CX248" s="1195"/>
      <c r="CY248" s="1196"/>
    </row>
    <row r="249" spans="1:103" ht="10.5" customHeight="1" thickBot="1">
      <c r="A249" s="1492"/>
      <c r="B249" s="1492"/>
      <c r="C249" s="1492"/>
      <c r="D249" s="1492"/>
      <c r="E249" s="1492"/>
      <c r="F249" s="1492"/>
      <c r="G249" s="1492"/>
      <c r="H249" s="1492"/>
      <c r="I249" s="1492"/>
      <c r="J249" s="1492"/>
      <c r="K249" s="1492"/>
      <c r="L249" s="1492"/>
      <c r="M249" s="1492"/>
      <c r="N249" s="1492"/>
      <c r="O249" s="1492"/>
      <c r="P249" s="1492"/>
      <c r="Q249" s="1492"/>
      <c r="R249" s="1492"/>
      <c r="S249" s="1492"/>
      <c r="T249" s="1492"/>
      <c r="U249" s="1492"/>
      <c r="V249" s="1492"/>
      <c r="W249" s="1492"/>
      <c r="X249" s="434"/>
      <c r="Y249" s="434"/>
      <c r="Z249" s="1505"/>
      <c r="AA249" s="1505"/>
      <c r="AB249" s="1505"/>
      <c r="AC249" s="1505"/>
      <c r="AD249" s="1505"/>
      <c r="AE249" s="1505"/>
      <c r="AF249" s="1505"/>
      <c r="AG249" s="1505"/>
      <c r="AH249" s="1505"/>
      <c r="AI249" s="1505"/>
      <c r="AJ249" s="1505"/>
      <c r="AK249" s="1505"/>
      <c r="AL249" s="1505"/>
      <c r="AM249" s="1505"/>
      <c r="AN249" s="1505"/>
      <c r="AO249" s="1505"/>
      <c r="AP249" s="441"/>
      <c r="AQ249" s="512"/>
      <c r="AR249" s="1682"/>
      <c r="AS249" s="1683"/>
      <c r="AT249" s="1683"/>
      <c r="AU249" s="1683"/>
      <c r="AV249" s="1683"/>
      <c r="AW249" s="1684"/>
      <c r="AX249" s="515"/>
      <c r="AY249" s="1682"/>
      <c r="AZ249" s="1683"/>
      <c r="BA249" s="1683"/>
      <c r="BB249" s="1683"/>
      <c r="BC249" s="1683"/>
      <c r="BD249" s="1684"/>
      <c r="BE249" s="513"/>
      <c r="BF249" s="1679" t="str">
        <f>"～"&amp;'能力'!AN84*5&amp;" lbs"</f>
        <v>～3500 lbs</v>
      </c>
      <c r="BG249" s="1680"/>
      <c r="BH249" s="1680"/>
      <c r="BI249" s="1680"/>
      <c r="BJ249" s="1680"/>
      <c r="BK249" s="1681"/>
      <c r="BL249" s="441"/>
      <c r="BM249" s="441"/>
      <c r="BN249" s="1672"/>
      <c r="BO249" s="1673"/>
      <c r="BP249" s="1673"/>
      <c r="BQ249" s="1673"/>
      <c r="BR249" s="1673"/>
      <c r="BS249" s="1673"/>
      <c r="BT249" s="1673"/>
      <c r="BU249" s="1673"/>
      <c r="BV249" s="1673"/>
      <c r="BW249" s="1673"/>
      <c r="BX249" s="1673"/>
      <c r="BY249" s="1673"/>
      <c r="BZ249" s="1673"/>
      <c r="CA249" s="1673"/>
      <c r="CB249" s="1673"/>
      <c r="CC249" s="1673"/>
      <c r="CD249" s="1673"/>
      <c r="CE249" s="1673"/>
      <c r="CF249" s="1673"/>
      <c r="CG249" s="1673"/>
      <c r="CH249" s="1673"/>
      <c r="CI249" s="1673"/>
      <c r="CJ249" s="1673"/>
      <c r="CK249" s="1673"/>
      <c r="CL249" s="1673"/>
      <c r="CM249" s="1673"/>
      <c r="CN249" s="1673"/>
      <c r="CO249" s="1674"/>
      <c r="CP249" s="1677"/>
      <c r="CQ249" s="1678"/>
      <c r="CR249" s="1192"/>
      <c r="CS249" s="1192"/>
      <c r="CT249" s="1192"/>
      <c r="CU249" s="1192"/>
      <c r="CV249" s="1192"/>
      <c r="CW249" s="1193"/>
      <c r="CX249" s="1195"/>
      <c r="CY249" s="1196"/>
    </row>
    <row r="250" spans="1:101" ht="10.5" customHeight="1" thickBot="1">
      <c r="A250" s="434" t="s">
        <v>737</v>
      </c>
      <c r="B250" s="441"/>
      <c r="C250" s="441"/>
      <c r="D250" s="441"/>
      <c r="E250" s="441"/>
      <c r="F250" s="441"/>
      <c r="G250" s="441"/>
      <c r="H250" s="441"/>
      <c r="I250" s="441"/>
      <c r="J250" s="441"/>
      <c r="K250" s="441"/>
      <c r="L250" s="441"/>
      <c r="M250" s="441"/>
      <c r="N250" s="441"/>
      <c r="O250" s="441"/>
      <c r="P250" s="441"/>
      <c r="Q250" s="441"/>
      <c r="R250" s="441"/>
      <c r="S250" s="441"/>
      <c r="T250" s="441"/>
      <c r="U250" s="441"/>
      <c r="V250" s="441"/>
      <c r="W250" s="441"/>
      <c r="X250" s="434"/>
      <c r="Y250" s="434"/>
      <c r="Z250" s="434" t="s">
        <v>738</v>
      </c>
      <c r="AA250" s="441"/>
      <c r="AB250" s="431"/>
      <c r="AC250" s="431"/>
      <c r="AD250" s="441"/>
      <c r="AE250" s="441"/>
      <c r="AF250" s="516"/>
      <c r="AG250" s="516"/>
      <c r="AH250" s="431"/>
      <c r="AI250" s="431"/>
      <c r="AJ250" s="431"/>
      <c r="AK250" s="431"/>
      <c r="AL250" s="431"/>
      <c r="AM250" s="431"/>
      <c r="AN250" s="431"/>
      <c r="AO250" s="431"/>
      <c r="AP250" s="441"/>
      <c r="AQ250" s="512"/>
      <c r="AR250" s="512"/>
      <c r="AS250" s="512"/>
      <c r="AT250" s="512"/>
      <c r="AU250" s="512"/>
      <c r="AV250" s="512"/>
      <c r="AW250" s="512"/>
      <c r="AX250" s="512"/>
      <c r="AY250" s="512"/>
      <c r="AZ250" s="512"/>
      <c r="BA250" s="512"/>
      <c r="BB250" s="512"/>
      <c r="BC250" s="512"/>
      <c r="BD250" s="512"/>
      <c r="BE250" s="512"/>
      <c r="BF250" s="1682"/>
      <c r="BG250" s="1683"/>
      <c r="BH250" s="1683"/>
      <c r="BI250" s="1683"/>
      <c r="BJ250" s="1683"/>
      <c r="BK250" s="1684"/>
      <c r="BL250" s="441"/>
      <c r="BM250" s="441"/>
      <c r="BN250" s="1766" t="s">
        <v>739</v>
      </c>
      <c r="BO250" s="1767"/>
      <c r="BP250" s="1767"/>
      <c r="BQ250" s="1767"/>
      <c r="BR250" s="1767"/>
      <c r="BS250" s="1767"/>
      <c r="BT250" s="1767"/>
      <c r="BU250" s="1767"/>
      <c r="BV250" s="1767"/>
      <c r="BW250" s="1767"/>
      <c r="BX250" s="1767"/>
      <c r="BY250" s="1767"/>
      <c r="BZ250" s="1767"/>
      <c r="CA250" s="1767"/>
      <c r="CB250" s="1767"/>
      <c r="CC250" s="1767"/>
      <c r="CD250" s="1767"/>
      <c r="CE250" s="1767"/>
      <c r="CF250" s="1767"/>
      <c r="CG250" s="1767"/>
      <c r="CH250" s="1767"/>
      <c r="CI250" s="1767"/>
      <c r="CJ250" s="1767"/>
      <c r="CK250" s="1767"/>
      <c r="CL250" s="1767"/>
      <c r="CM250" s="1767"/>
      <c r="CN250" s="1767"/>
      <c r="CO250" s="1767"/>
      <c r="CP250" s="1767"/>
      <c r="CQ250" s="1767"/>
      <c r="CR250" s="1767"/>
      <c r="CS250" s="1770">
        <f>IF(BI237="","",SUM(CV181:CW248)+'装備'!N7+BI237)</f>
        <v>46.8</v>
      </c>
      <c r="CT250" s="1770"/>
      <c r="CU250" s="1770"/>
      <c r="CV250" s="1770"/>
      <c r="CW250" s="1771"/>
    </row>
    <row r="251" spans="1:101" ht="10.5" customHeight="1" thickBot="1">
      <c r="A251" s="441"/>
      <c r="B251" s="441"/>
      <c r="C251" s="441"/>
      <c r="D251" s="441"/>
      <c r="E251" s="441"/>
      <c r="F251" s="441"/>
      <c r="G251" s="441"/>
      <c r="H251" s="441"/>
      <c r="I251" s="441"/>
      <c r="J251" s="441"/>
      <c r="K251" s="441"/>
      <c r="L251" s="441"/>
      <c r="M251" s="441"/>
      <c r="N251" s="441"/>
      <c r="O251" s="441"/>
      <c r="P251" s="441"/>
      <c r="Q251" s="441"/>
      <c r="R251" s="441"/>
      <c r="S251" s="441"/>
      <c r="T251" s="441"/>
      <c r="U251" s="441"/>
      <c r="V251" s="441"/>
      <c r="W251" s="441"/>
      <c r="X251" s="434"/>
      <c r="Y251" s="434"/>
      <c r="Z251" s="441"/>
      <c r="AA251" s="441"/>
      <c r="AB251" s="441"/>
      <c r="AC251" s="441"/>
      <c r="AD251" s="441"/>
      <c r="AE251" s="441"/>
      <c r="AF251" s="517"/>
      <c r="AG251" s="517"/>
      <c r="AH251" s="441"/>
      <c r="AI251" s="441"/>
      <c r="AJ251" s="441"/>
      <c r="AK251" s="441"/>
      <c r="AL251" s="441"/>
      <c r="AM251" s="441"/>
      <c r="AN251" s="431"/>
      <c r="AO251" s="431"/>
      <c r="AP251" s="512"/>
      <c r="AQ251" s="512"/>
      <c r="AR251" s="512"/>
      <c r="AS251" s="512"/>
      <c r="AT251" s="512"/>
      <c r="AU251" s="512"/>
      <c r="AV251" s="512"/>
      <c r="AW251" s="512"/>
      <c r="AX251" s="512"/>
      <c r="AY251" s="512"/>
      <c r="AZ251" s="512"/>
      <c r="BA251" s="512"/>
      <c r="BB251" s="512"/>
      <c r="BC251" s="512"/>
      <c r="BD251" s="512"/>
      <c r="BE251" s="512"/>
      <c r="BF251" s="512"/>
      <c r="BG251" s="512"/>
      <c r="BH251" s="512"/>
      <c r="BI251" s="512"/>
      <c r="BJ251" s="512"/>
      <c r="BK251" s="512"/>
      <c r="BL251" s="441"/>
      <c r="BM251" s="441"/>
      <c r="BN251" s="1768"/>
      <c r="BO251" s="1769"/>
      <c r="BP251" s="1769"/>
      <c r="BQ251" s="1769"/>
      <c r="BR251" s="1769"/>
      <c r="BS251" s="1769"/>
      <c r="BT251" s="1769"/>
      <c r="BU251" s="1769"/>
      <c r="BV251" s="1769"/>
      <c r="BW251" s="1769"/>
      <c r="BX251" s="1769"/>
      <c r="BY251" s="1769"/>
      <c r="BZ251" s="1769"/>
      <c r="CA251" s="1769"/>
      <c r="CB251" s="1769"/>
      <c r="CC251" s="1769"/>
      <c r="CD251" s="1769"/>
      <c r="CE251" s="1769"/>
      <c r="CF251" s="1769"/>
      <c r="CG251" s="1769"/>
      <c r="CH251" s="1769"/>
      <c r="CI251" s="1769"/>
      <c r="CJ251" s="1769"/>
      <c r="CK251" s="1769"/>
      <c r="CL251" s="1769"/>
      <c r="CM251" s="1769"/>
      <c r="CN251" s="1769"/>
      <c r="CO251" s="1769"/>
      <c r="CP251" s="1769"/>
      <c r="CQ251" s="1769"/>
      <c r="CR251" s="1769"/>
      <c r="CS251" s="1772"/>
      <c r="CT251" s="1772"/>
      <c r="CU251" s="1772"/>
      <c r="CV251" s="1772"/>
      <c r="CW251" s="1773"/>
    </row>
    <row r="252" ht="10.5" customHeight="1"/>
    <row r="253" ht="10.5" customHeight="1"/>
    <row r="254" ht="10.5" customHeight="1"/>
    <row r="255" ht="10.5" customHeight="1"/>
    <row r="256" ht="10.5" customHeight="1"/>
    <row r="257" ht="10.5" customHeight="1"/>
    <row r="260" spans="1:103" ht="9.75" customHeight="1">
      <c r="A260" s="161"/>
      <c r="B260" s="161"/>
      <c r="C260" s="161"/>
      <c r="D260" s="161"/>
      <c r="E260" s="161"/>
      <c r="F260" s="161"/>
      <c r="G260" s="161"/>
      <c r="H260" s="161"/>
      <c r="I260" s="161"/>
      <c r="J260" s="161"/>
      <c r="K260" s="161"/>
      <c r="L260" s="161"/>
      <c r="M260" s="161"/>
      <c r="N260" s="161"/>
      <c r="O260" s="161"/>
      <c r="P260" s="161"/>
      <c r="Q260" s="161"/>
      <c r="R260" s="161"/>
      <c r="S260" s="161"/>
      <c r="T260" s="161"/>
      <c r="U260" s="161"/>
      <c r="V260" s="161"/>
      <c r="W260" s="161"/>
      <c r="X260" s="162"/>
      <c r="Y260" s="162"/>
      <c r="Z260" s="161"/>
      <c r="AA260" s="161"/>
      <c r="AB260" s="161"/>
      <c r="AC260" s="161"/>
      <c r="AD260" s="161"/>
      <c r="AE260" s="161"/>
      <c r="AF260" s="246"/>
      <c r="AG260" s="246"/>
      <c r="AH260" s="161"/>
      <c r="AI260" s="161"/>
      <c r="AJ260" s="161"/>
      <c r="AK260" s="161"/>
      <c r="AL260" s="161"/>
      <c r="AM260" s="161"/>
      <c r="AN260" s="161"/>
      <c r="AO260" s="175"/>
      <c r="AP260" s="245"/>
      <c r="AQ260" s="245"/>
      <c r="AR260" s="245"/>
      <c r="AS260" s="245"/>
      <c r="AT260" s="245"/>
      <c r="AU260" s="245"/>
      <c r="AV260" s="245"/>
      <c r="AW260" s="245"/>
      <c r="AX260" s="245"/>
      <c r="AY260" s="245"/>
      <c r="AZ260" s="245"/>
      <c r="BA260" s="245"/>
      <c r="BB260" s="245"/>
      <c r="BC260" s="245"/>
      <c r="BD260" s="245"/>
      <c r="BE260" s="245"/>
      <c r="BF260" s="245"/>
      <c r="BG260" s="245"/>
      <c r="BH260" s="245"/>
      <c r="BI260" s="245"/>
      <c r="BJ260" s="245"/>
      <c r="BK260" s="245"/>
      <c r="CM260" s="200"/>
      <c r="CN260" s="200"/>
      <c r="CO260" s="200"/>
      <c r="CP260" s="200"/>
      <c r="CQ260" s="200"/>
      <c r="CR260" s="200"/>
      <c r="CS260" s="200"/>
      <c r="CT260" s="200"/>
      <c r="CU260" s="200"/>
      <c r="CV260" s="200"/>
      <c r="CW260" s="200"/>
      <c r="CX260" s="200"/>
      <c r="CY260" s="200"/>
    </row>
    <row r="261" spans="1:108" ht="9.75" customHeight="1">
      <c r="A261" s="161"/>
      <c r="B261" s="161"/>
      <c r="C261" s="161"/>
      <c r="D261" s="161"/>
      <c r="E261" s="161"/>
      <c r="F261" s="161"/>
      <c r="G261" s="161"/>
      <c r="H261" s="161"/>
      <c r="I261" s="161"/>
      <c r="J261" s="161"/>
      <c r="K261" s="161"/>
      <c r="L261" s="161"/>
      <c r="M261" s="161"/>
      <c r="N261" s="161"/>
      <c r="O261" s="161"/>
      <c r="P261" s="161"/>
      <c r="Q261" s="161"/>
      <c r="R261" s="161"/>
      <c r="S261" s="161"/>
      <c r="T261" s="161"/>
      <c r="U261" s="161"/>
      <c r="V261" s="161"/>
      <c r="W261" s="161"/>
      <c r="X261" s="162"/>
      <c r="Y261" s="162"/>
      <c r="Z261" s="161"/>
      <c r="AA261" s="161"/>
      <c r="AB261" s="161"/>
      <c r="AC261" s="161"/>
      <c r="AD261" s="161"/>
      <c r="AE261" s="161"/>
      <c r="AF261" s="246"/>
      <c r="AG261" s="246"/>
      <c r="AH261" s="161"/>
      <c r="AI261" s="161"/>
      <c r="AJ261" s="161"/>
      <c r="AK261" s="161"/>
      <c r="AL261" s="161"/>
      <c r="AM261" s="161"/>
      <c r="AN261" s="161"/>
      <c r="AO261" s="175"/>
      <c r="AP261" s="245"/>
      <c r="AQ261" s="245"/>
      <c r="AR261" s="245"/>
      <c r="AS261" s="245"/>
      <c r="AT261" s="245"/>
      <c r="AU261" s="245"/>
      <c r="AV261" s="245"/>
      <c r="AW261" s="245"/>
      <c r="AX261" s="245"/>
      <c r="AY261" s="245"/>
      <c r="AZ261" s="245"/>
      <c r="BA261" s="245"/>
      <c r="BB261" s="245"/>
      <c r="BC261" s="245"/>
      <c r="BD261" s="245"/>
      <c r="BE261" s="245"/>
      <c r="BF261" s="245"/>
      <c r="BG261" s="245"/>
      <c r="BH261" s="245"/>
      <c r="BI261" s="245"/>
      <c r="BJ261" s="245"/>
      <c r="BK261" s="245"/>
      <c r="CM261" s="200"/>
      <c r="CN261" s="200"/>
      <c r="CO261" s="200"/>
      <c r="CP261" s="200"/>
      <c r="CQ261" s="200"/>
      <c r="CR261" s="200"/>
      <c r="CS261" s="200"/>
      <c r="CT261" s="200"/>
      <c r="CU261" s="200"/>
      <c r="CV261" s="200"/>
      <c r="CW261" s="200"/>
      <c r="CX261" s="200"/>
      <c r="CY261" s="200"/>
      <c r="CZ261" s="200"/>
      <c r="DA261" s="200"/>
      <c r="DB261" s="200"/>
      <c r="DC261" s="351"/>
      <c r="DD261" s="351"/>
    </row>
  </sheetData>
  <sheetProtection/>
  <mergeCells count="1948">
    <mergeCell ref="CT245:CU245"/>
    <mergeCell ref="CX240:CY240"/>
    <mergeCell ref="CX241:CY241"/>
    <mergeCell ref="CX242:CY242"/>
    <mergeCell ref="CX243:CY243"/>
    <mergeCell ref="CX244:CY244"/>
    <mergeCell ref="CV240:CW240"/>
    <mergeCell ref="CV242:CW242"/>
    <mergeCell ref="A190:C190"/>
    <mergeCell ref="E190:AH190"/>
    <mergeCell ref="CP244:CQ244"/>
    <mergeCell ref="CP245:CQ245"/>
    <mergeCell ref="BN241:CO241"/>
    <mergeCell ref="BN242:CO242"/>
    <mergeCell ref="BN243:CO243"/>
    <mergeCell ref="CX245:CY245"/>
    <mergeCell ref="CR245:CS245"/>
    <mergeCell ref="CR244:CS244"/>
    <mergeCell ref="CR242:CS242"/>
    <mergeCell ref="CV241:CW241"/>
    <mergeCell ref="CV245:CW245"/>
    <mergeCell ref="CT244:CU244"/>
    <mergeCell ref="CR243:CS243"/>
    <mergeCell ref="CV244:CW244"/>
    <mergeCell ref="CT241:CU241"/>
    <mergeCell ref="CP242:CQ242"/>
    <mergeCell ref="CR241:CS241"/>
    <mergeCell ref="CT240:CU240"/>
    <mergeCell ref="CT242:CU242"/>
    <mergeCell ref="CT243:CU243"/>
    <mergeCell ref="CV243:CW243"/>
    <mergeCell ref="CR240:CS240"/>
    <mergeCell ref="BN244:CO244"/>
    <mergeCell ref="BN245:CO245"/>
    <mergeCell ref="CV238:CW238"/>
    <mergeCell ref="CV239:CW239"/>
    <mergeCell ref="CT239:CU239"/>
    <mergeCell ref="CR239:CS239"/>
    <mergeCell ref="CP240:CQ240"/>
    <mergeCell ref="CP241:CQ241"/>
    <mergeCell ref="CP243:CQ243"/>
    <mergeCell ref="BN240:CO240"/>
    <mergeCell ref="CX239:CY239"/>
    <mergeCell ref="BN238:CO238"/>
    <mergeCell ref="BN239:CO239"/>
    <mergeCell ref="CP238:CQ238"/>
    <mergeCell ref="CP239:CQ239"/>
    <mergeCell ref="CR238:CS238"/>
    <mergeCell ref="CT238:CU238"/>
    <mergeCell ref="R197:AH197"/>
    <mergeCell ref="A192:P192"/>
    <mergeCell ref="A193:P193"/>
    <mergeCell ref="A194:P194"/>
    <mergeCell ref="A195:P195"/>
    <mergeCell ref="A196:P196"/>
    <mergeCell ref="R192:AH192"/>
    <mergeCell ref="R193:AH193"/>
    <mergeCell ref="R196:AH196"/>
    <mergeCell ref="E184:AH184"/>
    <mergeCell ref="A178:AH179"/>
    <mergeCell ref="E182:AH182"/>
    <mergeCell ref="E183:AH183"/>
    <mergeCell ref="A181:C181"/>
    <mergeCell ref="A183:C183"/>
    <mergeCell ref="A184:C184"/>
    <mergeCell ref="AG220:AN220"/>
    <mergeCell ref="BC220:BD220"/>
    <mergeCell ref="AD220:AF220"/>
    <mergeCell ref="BC219:BD219"/>
    <mergeCell ref="AO219:BB219"/>
    <mergeCell ref="AG219:AN219"/>
    <mergeCell ref="Z236:AA236"/>
    <mergeCell ref="AB236:AC236"/>
    <mergeCell ref="BI215:BK215"/>
    <mergeCell ref="BE215:BF215"/>
    <mergeCell ref="BG217:BH217"/>
    <mergeCell ref="BG215:BH215"/>
    <mergeCell ref="BG216:BH216"/>
    <mergeCell ref="BE216:BF216"/>
    <mergeCell ref="BE217:BF217"/>
    <mergeCell ref="BI217:BK217"/>
    <mergeCell ref="O245:W246"/>
    <mergeCell ref="AF245:AP246"/>
    <mergeCell ref="A241:B242"/>
    <mergeCell ref="Z237:AA237"/>
    <mergeCell ref="AB237:AC237"/>
    <mergeCell ref="A245:N246"/>
    <mergeCell ref="M241:N242"/>
    <mergeCell ref="Y245:AE246"/>
    <mergeCell ref="C241:L242"/>
    <mergeCell ref="A235:Y235"/>
    <mergeCell ref="AB235:AC235"/>
    <mergeCell ref="Z235:AA235"/>
    <mergeCell ref="AO217:BB217"/>
    <mergeCell ref="A234:Y234"/>
    <mergeCell ref="Z234:AA234"/>
    <mergeCell ref="AB234:AC234"/>
    <mergeCell ref="A232:Y232"/>
    <mergeCell ref="AD227:AF227"/>
    <mergeCell ref="AD230:AF230"/>
    <mergeCell ref="A236:Y236"/>
    <mergeCell ref="AK185:BK185"/>
    <mergeCell ref="AO216:BB216"/>
    <mergeCell ref="AG215:BB215"/>
    <mergeCell ref="BC216:BD216"/>
    <mergeCell ref="BI216:BK216"/>
    <mergeCell ref="BC218:BD218"/>
    <mergeCell ref="BE218:BF218"/>
    <mergeCell ref="BE221:BF221"/>
    <mergeCell ref="BC222:BD222"/>
    <mergeCell ref="BC215:BD215"/>
    <mergeCell ref="BC217:BD217"/>
    <mergeCell ref="BE222:BF222"/>
    <mergeCell ref="BE220:BF220"/>
    <mergeCell ref="BG218:BH218"/>
    <mergeCell ref="BI219:BK219"/>
    <mergeCell ref="BG219:BH219"/>
    <mergeCell ref="BI222:BK222"/>
    <mergeCell ref="BI218:BK218"/>
    <mergeCell ref="BC221:BD221"/>
    <mergeCell ref="AG221:AN221"/>
    <mergeCell ref="AG222:AN222"/>
    <mergeCell ref="AB233:AC233"/>
    <mergeCell ref="AD222:AF222"/>
    <mergeCell ref="A222:AC222"/>
    <mergeCell ref="Z232:AA232"/>
    <mergeCell ref="AD221:AF221"/>
    <mergeCell ref="A226:AC226"/>
    <mergeCell ref="AD224:AF224"/>
    <mergeCell ref="AG223:AN223"/>
    <mergeCell ref="AD217:AF217"/>
    <mergeCell ref="A206:P206"/>
    <mergeCell ref="AD215:AF215"/>
    <mergeCell ref="A233:Y233"/>
    <mergeCell ref="AB232:AC232"/>
    <mergeCell ref="Z233:AA233"/>
    <mergeCell ref="AD219:AF219"/>
    <mergeCell ref="A220:AC220"/>
    <mergeCell ref="A215:AC215"/>
    <mergeCell ref="A219:AC219"/>
    <mergeCell ref="BN182:CO182"/>
    <mergeCell ref="CR186:CS186"/>
    <mergeCell ref="AG218:AN218"/>
    <mergeCell ref="AG217:AN217"/>
    <mergeCell ref="AG216:AN216"/>
    <mergeCell ref="A216:AC216"/>
    <mergeCell ref="R206:AH206"/>
    <mergeCell ref="AD218:AF218"/>
    <mergeCell ref="A217:AC217"/>
    <mergeCell ref="A218:AC218"/>
    <mergeCell ref="BE219:BF219"/>
    <mergeCell ref="A186:C186"/>
    <mergeCell ref="BN184:CO184"/>
    <mergeCell ref="AD216:AF216"/>
    <mergeCell ref="CT180:CU180"/>
    <mergeCell ref="R191:AH191"/>
    <mergeCell ref="A180:C180"/>
    <mergeCell ref="CR182:CS182"/>
    <mergeCell ref="CP183:CQ183"/>
    <mergeCell ref="AK183:BK183"/>
    <mergeCell ref="CV180:CW180"/>
    <mergeCell ref="CV181:CW181"/>
    <mergeCell ref="CP180:CQ180"/>
    <mergeCell ref="BN180:CO180"/>
    <mergeCell ref="AK186:BK186"/>
    <mergeCell ref="E185:AH185"/>
    <mergeCell ref="AK180:BK180"/>
    <mergeCell ref="CP184:CQ184"/>
    <mergeCell ref="BN183:CO183"/>
    <mergeCell ref="E180:AH180"/>
    <mergeCell ref="E186:AH186"/>
    <mergeCell ref="AX244:BE244"/>
    <mergeCell ref="AY242:BD243"/>
    <mergeCell ref="CT181:CU181"/>
    <mergeCell ref="CR181:CS181"/>
    <mergeCell ref="CT182:CU182"/>
    <mergeCell ref="AG227:AN227"/>
    <mergeCell ref="A221:AC221"/>
    <mergeCell ref="AR239:AW240"/>
    <mergeCell ref="AY239:BD241"/>
    <mergeCell ref="BF245:BK246"/>
    <mergeCell ref="BF243:BK244"/>
    <mergeCell ref="BN190:CO190"/>
    <mergeCell ref="BN191:CO191"/>
    <mergeCell ref="BI224:BK224"/>
    <mergeCell ref="CP181:CQ181"/>
    <mergeCell ref="A214:BK214"/>
    <mergeCell ref="A208:AH212"/>
    <mergeCell ref="BN181:CO181"/>
    <mergeCell ref="A200:P200"/>
    <mergeCell ref="BF239:BK240"/>
    <mergeCell ref="AR244:AW244"/>
    <mergeCell ref="M243:N244"/>
    <mergeCell ref="O243:W244"/>
    <mergeCell ref="O241:W242"/>
    <mergeCell ref="A239:W240"/>
    <mergeCell ref="C243:L244"/>
    <mergeCell ref="A243:B244"/>
    <mergeCell ref="AR241:AW241"/>
    <mergeCell ref="BF241:BK242"/>
    <mergeCell ref="BI237:BK237"/>
    <mergeCell ref="Y241:AP244"/>
    <mergeCell ref="BN250:CR251"/>
    <mergeCell ref="CS250:CW251"/>
    <mergeCell ref="CT187:CU187"/>
    <mergeCell ref="CR248:CS249"/>
    <mergeCell ref="BC225:BD225"/>
    <mergeCell ref="BC226:BD226"/>
    <mergeCell ref="BE226:BF226"/>
    <mergeCell ref="A237:Y237"/>
    <mergeCell ref="AO228:BB228"/>
    <mergeCell ref="AR248:AW249"/>
    <mergeCell ref="AY245:BD246"/>
    <mergeCell ref="AY248:BD249"/>
    <mergeCell ref="AY247:BD247"/>
    <mergeCell ref="AR242:AW243"/>
    <mergeCell ref="Y239:AP240"/>
    <mergeCell ref="BC233:BD233"/>
    <mergeCell ref="AO235:BB235"/>
    <mergeCell ref="A231:AC231"/>
    <mergeCell ref="CT185:CU185"/>
    <mergeCell ref="CV185:CW185"/>
    <mergeCell ref="CV187:CW187"/>
    <mergeCell ref="CV182:CW182"/>
    <mergeCell ref="BF248:BK248"/>
    <mergeCell ref="CP182:CQ182"/>
    <mergeCell ref="AK187:BK187"/>
    <mergeCell ref="CP187:CQ187"/>
    <mergeCell ref="AO227:BB227"/>
    <mergeCell ref="AR247:AW247"/>
    <mergeCell ref="BN185:CO185"/>
    <mergeCell ref="A185:C185"/>
    <mergeCell ref="AK190:BK190"/>
    <mergeCell ref="AO218:BB218"/>
    <mergeCell ref="R194:AH194"/>
    <mergeCell ref="R195:AH195"/>
    <mergeCell ref="BN186:CO186"/>
    <mergeCell ref="BN187:CO187"/>
    <mergeCell ref="A197:P197"/>
    <mergeCell ref="A201:P201"/>
    <mergeCell ref="BG221:BH221"/>
    <mergeCell ref="BI221:BK221"/>
    <mergeCell ref="BI220:BK220"/>
    <mergeCell ref="BG222:BH222"/>
    <mergeCell ref="BG220:BH220"/>
    <mergeCell ref="AO222:BB222"/>
    <mergeCell ref="AO221:BB221"/>
    <mergeCell ref="AO220:BB220"/>
    <mergeCell ref="CX181:CY181"/>
    <mergeCell ref="CX182:CY182"/>
    <mergeCell ref="CX183:CY183"/>
    <mergeCell ref="CX184:CY184"/>
    <mergeCell ref="CX185:CY185"/>
    <mergeCell ref="CX186:CY186"/>
    <mergeCell ref="AQ59:AT59"/>
    <mergeCell ref="AQ60:AT62"/>
    <mergeCell ref="AB60:AJ62"/>
    <mergeCell ref="M60:Z62"/>
    <mergeCell ref="AL60:AO62"/>
    <mergeCell ref="A203:P203"/>
    <mergeCell ref="H128:N128"/>
    <mergeCell ref="AA159:AD160"/>
    <mergeCell ref="T129:Z130"/>
    <mergeCell ref="W174:Z175"/>
    <mergeCell ref="A204:P204"/>
    <mergeCell ref="A60:K62"/>
    <mergeCell ref="A191:P191"/>
    <mergeCell ref="CX188:CY188"/>
    <mergeCell ref="CX187:CY187"/>
    <mergeCell ref="CV183:CW183"/>
    <mergeCell ref="CT183:CU183"/>
    <mergeCell ref="CR185:CS185"/>
    <mergeCell ref="A202:P202"/>
    <mergeCell ref="A189:C189"/>
    <mergeCell ref="CV197:CW197"/>
    <mergeCell ref="CV198:CW198"/>
    <mergeCell ref="CR197:CS197"/>
    <mergeCell ref="E181:AH181"/>
    <mergeCell ref="A187:C187"/>
    <mergeCell ref="E187:AH187"/>
    <mergeCell ref="A182:C182"/>
    <mergeCell ref="AK189:BK189"/>
    <mergeCell ref="AK184:BK184"/>
    <mergeCell ref="AK182:BK182"/>
    <mergeCell ref="A129:G130"/>
    <mergeCell ref="AC133:AO133"/>
    <mergeCell ref="R172:U173"/>
    <mergeCell ref="A172:G173"/>
    <mergeCell ref="R174:U174"/>
    <mergeCell ref="T128:Z128"/>
    <mergeCell ref="R163:U164"/>
    <mergeCell ref="N163:Q164"/>
    <mergeCell ref="A159:G160"/>
    <mergeCell ref="N174:Q174"/>
    <mergeCell ref="I168:T169"/>
    <mergeCell ref="A168:G169"/>
    <mergeCell ref="O121:S122"/>
    <mergeCell ref="H129:N130"/>
    <mergeCell ref="R126:AB127"/>
    <mergeCell ref="A126:Q127"/>
    <mergeCell ref="O128:S128"/>
    <mergeCell ref="O129:S130"/>
    <mergeCell ref="AA129:BD130"/>
    <mergeCell ref="AZ165:BC166"/>
    <mergeCell ref="A118:Q119"/>
    <mergeCell ref="R118:AB119"/>
    <mergeCell ref="A128:G128"/>
    <mergeCell ref="A121:G122"/>
    <mergeCell ref="A124:Q125"/>
    <mergeCell ref="R125:AB125"/>
    <mergeCell ref="H120:N120"/>
    <mergeCell ref="H121:N122"/>
    <mergeCell ref="O120:S120"/>
    <mergeCell ref="A120:G120"/>
    <mergeCell ref="AU63:BD64"/>
    <mergeCell ref="BF59:BF60"/>
    <mergeCell ref="A116:Q117"/>
    <mergeCell ref="A98:Q100"/>
    <mergeCell ref="R97:AJ97"/>
    <mergeCell ref="A92:F93"/>
    <mergeCell ref="A94:C94"/>
    <mergeCell ref="G92:K93"/>
    <mergeCell ref="L92:T93"/>
    <mergeCell ref="D94:Q94"/>
    <mergeCell ref="AL36:AO37"/>
    <mergeCell ref="AG38:AJ40"/>
    <mergeCell ref="BF75:BF76"/>
    <mergeCell ref="BF71:BF72"/>
    <mergeCell ref="BF45:BF46"/>
    <mergeCell ref="AK59:AP59"/>
    <mergeCell ref="AU72:BD74"/>
    <mergeCell ref="BF61:BF62"/>
    <mergeCell ref="BF63:BF64"/>
    <mergeCell ref="BF67:BF68"/>
    <mergeCell ref="CI37:CK38"/>
    <mergeCell ref="CI39:CK40"/>
    <mergeCell ref="CQ33:CW34"/>
    <mergeCell ref="CQ31:CW32"/>
    <mergeCell ref="BZ28:CB30"/>
    <mergeCell ref="BG28:BY30"/>
    <mergeCell ref="CM35:CO36"/>
    <mergeCell ref="CP33:CP34"/>
    <mergeCell ref="CL33:CL34"/>
    <mergeCell ref="CP31:CP32"/>
    <mergeCell ref="CI69:CK70"/>
    <mergeCell ref="CP109:CP110"/>
    <mergeCell ref="BF73:BF74"/>
    <mergeCell ref="BF139:BF140"/>
    <mergeCell ref="BF141:BF142"/>
    <mergeCell ref="BF121:BF122"/>
    <mergeCell ref="CH85:CH86"/>
    <mergeCell ref="BE165:BH166"/>
    <mergeCell ref="BJ163:BM164"/>
    <mergeCell ref="BJ165:BM166"/>
    <mergeCell ref="DH145:DH146"/>
    <mergeCell ref="CI83:CK84"/>
    <mergeCell ref="CI107:CK108"/>
    <mergeCell ref="DK147:DK148"/>
    <mergeCell ref="E189:AH189"/>
    <mergeCell ref="DJ147:DJ148"/>
    <mergeCell ref="AA161:AD162"/>
    <mergeCell ref="DI147:DI148"/>
    <mergeCell ref="AA163:AD164"/>
    <mergeCell ref="AF165:AI166"/>
    <mergeCell ref="E188:AH188"/>
    <mergeCell ref="BJ159:BM160"/>
    <mergeCell ref="CT186:CU186"/>
    <mergeCell ref="DI145:DI146"/>
    <mergeCell ref="DJ139:DJ140"/>
    <mergeCell ref="DJ143:DJ144"/>
    <mergeCell ref="DK143:DK144"/>
    <mergeCell ref="DJ145:DJ146"/>
    <mergeCell ref="DK145:DK146"/>
    <mergeCell ref="DK139:DK140"/>
    <mergeCell ref="DJ141:DJ142"/>
    <mergeCell ref="DK141:DK142"/>
    <mergeCell ref="DI143:DI144"/>
    <mergeCell ref="DJ135:DJ136"/>
    <mergeCell ref="DK135:DK136"/>
    <mergeCell ref="DJ137:DJ138"/>
    <mergeCell ref="DK137:DK138"/>
    <mergeCell ref="DJ131:DJ132"/>
    <mergeCell ref="DK131:DK132"/>
    <mergeCell ref="DJ133:DJ134"/>
    <mergeCell ref="DK133:DK134"/>
    <mergeCell ref="DI141:DI142"/>
    <mergeCell ref="DJ127:DJ128"/>
    <mergeCell ref="DK127:DK128"/>
    <mergeCell ref="DJ129:DJ130"/>
    <mergeCell ref="DK129:DK130"/>
    <mergeCell ref="DJ123:DJ124"/>
    <mergeCell ref="DK123:DK124"/>
    <mergeCell ref="DJ125:DJ126"/>
    <mergeCell ref="DK125:DK126"/>
    <mergeCell ref="DI139:DI140"/>
    <mergeCell ref="DJ119:DJ120"/>
    <mergeCell ref="DK119:DK120"/>
    <mergeCell ref="DJ121:DJ122"/>
    <mergeCell ref="DK121:DK122"/>
    <mergeCell ref="DJ115:DJ116"/>
    <mergeCell ref="DK115:DK116"/>
    <mergeCell ref="DJ117:DJ118"/>
    <mergeCell ref="DK117:DK118"/>
    <mergeCell ref="DJ111:DJ112"/>
    <mergeCell ref="DK111:DK112"/>
    <mergeCell ref="DJ113:DJ114"/>
    <mergeCell ref="DK113:DK114"/>
    <mergeCell ref="DJ107:DJ108"/>
    <mergeCell ref="DK107:DK108"/>
    <mergeCell ref="DJ109:DJ110"/>
    <mergeCell ref="DK109:DK110"/>
    <mergeCell ref="DJ103:DJ104"/>
    <mergeCell ref="DK103:DK104"/>
    <mergeCell ref="DJ105:DJ106"/>
    <mergeCell ref="DK105:DK106"/>
    <mergeCell ref="DJ99:DJ100"/>
    <mergeCell ref="DK99:DK100"/>
    <mergeCell ref="DJ101:DJ102"/>
    <mergeCell ref="DK101:DK102"/>
    <mergeCell ref="DJ95:DJ96"/>
    <mergeCell ref="DK95:DK96"/>
    <mergeCell ref="DJ97:DJ98"/>
    <mergeCell ref="DK97:DK98"/>
    <mergeCell ref="DJ91:DJ92"/>
    <mergeCell ref="DK91:DK92"/>
    <mergeCell ref="DJ93:DJ94"/>
    <mergeCell ref="DK93:DK94"/>
    <mergeCell ref="DJ87:DJ88"/>
    <mergeCell ref="DK87:DK88"/>
    <mergeCell ref="DJ89:DJ90"/>
    <mergeCell ref="DK89:DK90"/>
    <mergeCell ref="DJ83:DJ84"/>
    <mergeCell ref="DK83:DK84"/>
    <mergeCell ref="DJ85:DJ86"/>
    <mergeCell ref="DK85:DK86"/>
    <mergeCell ref="DJ79:DJ80"/>
    <mergeCell ref="DK79:DK80"/>
    <mergeCell ref="DJ81:DJ82"/>
    <mergeCell ref="DK81:DK82"/>
    <mergeCell ref="DJ75:DJ76"/>
    <mergeCell ref="DK75:DK76"/>
    <mergeCell ref="DJ77:DJ78"/>
    <mergeCell ref="DK77:DK78"/>
    <mergeCell ref="DJ71:DJ72"/>
    <mergeCell ref="DK71:DK72"/>
    <mergeCell ref="DJ73:DJ74"/>
    <mergeCell ref="DK73:DK74"/>
    <mergeCell ref="DJ67:DJ68"/>
    <mergeCell ref="DK67:DK68"/>
    <mergeCell ref="DJ69:DJ70"/>
    <mergeCell ref="DK69:DK70"/>
    <mergeCell ref="DJ63:DJ64"/>
    <mergeCell ref="DK63:DK64"/>
    <mergeCell ref="DJ65:DJ66"/>
    <mergeCell ref="DK65:DK66"/>
    <mergeCell ref="DJ59:DJ60"/>
    <mergeCell ref="DK59:DK60"/>
    <mergeCell ref="DJ61:DJ62"/>
    <mergeCell ref="DK61:DK62"/>
    <mergeCell ref="DK53:DK54"/>
    <mergeCell ref="DJ55:DJ56"/>
    <mergeCell ref="DK55:DK56"/>
    <mergeCell ref="DJ57:DJ58"/>
    <mergeCell ref="DK57:DK58"/>
    <mergeCell ref="DI103:DI104"/>
    <mergeCell ref="DI89:DI90"/>
    <mergeCell ref="DI87:DI88"/>
    <mergeCell ref="DI85:DI86"/>
    <mergeCell ref="DI83:DI84"/>
    <mergeCell ref="DI137:DI138"/>
    <mergeCell ref="DI125:DI126"/>
    <mergeCell ref="DI127:DI128"/>
    <mergeCell ref="DI129:DI130"/>
    <mergeCell ref="DI135:DI136"/>
    <mergeCell ref="DI123:DI124"/>
    <mergeCell ref="DI105:DI106"/>
    <mergeCell ref="DI101:DI102"/>
    <mergeCell ref="DI91:DI92"/>
    <mergeCell ref="DI131:DI132"/>
    <mergeCell ref="DI133:DI134"/>
    <mergeCell ref="DI93:DI94"/>
    <mergeCell ref="DI95:DI96"/>
    <mergeCell ref="DI97:DI98"/>
    <mergeCell ref="DI99:DI100"/>
    <mergeCell ref="DI113:DI114"/>
    <mergeCell ref="DI111:DI112"/>
    <mergeCell ref="DI107:DI108"/>
    <mergeCell ref="DI109:DI110"/>
    <mergeCell ref="DI121:DI122"/>
    <mergeCell ref="DI119:DI120"/>
    <mergeCell ref="DI117:DI118"/>
    <mergeCell ref="DI115:DI116"/>
    <mergeCell ref="DI81:DI82"/>
    <mergeCell ref="DI79:DI80"/>
    <mergeCell ref="DI77:DI78"/>
    <mergeCell ref="DK31:DK32"/>
    <mergeCell ref="DJ31:DJ32"/>
    <mergeCell ref="DJ33:DJ34"/>
    <mergeCell ref="DK33:DK34"/>
    <mergeCell ref="DJ35:DJ36"/>
    <mergeCell ref="DK35:DK36"/>
    <mergeCell ref="DJ37:DJ38"/>
    <mergeCell ref="DK37:DK38"/>
    <mergeCell ref="DJ47:DJ48"/>
    <mergeCell ref="DJ39:DJ40"/>
    <mergeCell ref="DK39:DK40"/>
    <mergeCell ref="DJ41:DJ42"/>
    <mergeCell ref="DK41:DK42"/>
    <mergeCell ref="DK47:DK48"/>
    <mergeCell ref="DJ43:DJ44"/>
    <mergeCell ref="DK43:DK44"/>
    <mergeCell ref="DJ45:DJ46"/>
    <mergeCell ref="DI73:DI74"/>
    <mergeCell ref="DK45:DK46"/>
    <mergeCell ref="DI49:DI50"/>
    <mergeCell ref="DI47:DI48"/>
    <mergeCell ref="DI45:DI46"/>
    <mergeCell ref="DJ49:DJ50"/>
    <mergeCell ref="DK49:DK50"/>
    <mergeCell ref="DJ51:DJ52"/>
    <mergeCell ref="DK51:DK52"/>
    <mergeCell ref="DJ53:DJ54"/>
    <mergeCell ref="DI65:DI66"/>
    <mergeCell ref="DI67:DI68"/>
    <mergeCell ref="DI69:DI70"/>
    <mergeCell ref="DI71:DI72"/>
    <mergeCell ref="A228:AC228"/>
    <mergeCell ref="AG228:AN228"/>
    <mergeCell ref="BC228:BD228"/>
    <mergeCell ref="DI75:DI76"/>
    <mergeCell ref="AD228:AF228"/>
    <mergeCell ref="BC227:BD227"/>
    <mergeCell ref="DI61:DI62"/>
    <mergeCell ref="DI63:DI64"/>
    <mergeCell ref="DI31:DI32"/>
    <mergeCell ref="DI33:DI34"/>
    <mergeCell ref="DI35:DI36"/>
    <mergeCell ref="DI37:DI38"/>
    <mergeCell ref="DI39:DI40"/>
    <mergeCell ref="DI41:DI42"/>
    <mergeCell ref="DI43:DI44"/>
    <mergeCell ref="DI57:DI58"/>
    <mergeCell ref="DI59:DI60"/>
    <mergeCell ref="DI55:DI56"/>
    <mergeCell ref="DI53:DI54"/>
    <mergeCell ref="DI51:DI52"/>
    <mergeCell ref="BE223:BF223"/>
    <mergeCell ref="BG225:BH225"/>
    <mergeCell ref="BG223:BH223"/>
    <mergeCell ref="BG224:BH224"/>
    <mergeCell ref="BE224:BF224"/>
    <mergeCell ref="CD73:CG74"/>
    <mergeCell ref="BF65:BF66"/>
    <mergeCell ref="AD236:AF236"/>
    <mergeCell ref="AD237:AF237"/>
    <mergeCell ref="BE230:BF230"/>
    <mergeCell ref="AO224:BB224"/>
    <mergeCell ref="BC224:BD224"/>
    <mergeCell ref="AO223:BB223"/>
    <mergeCell ref="BE232:BF232"/>
    <mergeCell ref="AP133:BD133"/>
    <mergeCell ref="BF145:BF146"/>
    <mergeCell ref="CV246:CW247"/>
    <mergeCell ref="BF135:BF136"/>
    <mergeCell ref="BF137:BF138"/>
    <mergeCell ref="BF123:BF124"/>
    <mergeCell ref="BF117:BF118"/>
    <mergeCell ref="BI223:BK223"/>
    <mergeCell ref="CT232:CU232"/>
    <mergeCell ref="CT231:CU231"/>
    <mergeCell ref="BE231:BF231"/>
    <mergeCell ref="BG232:BH232"/>
    <mergeCell ref="CV248:CW249"/>
    <mergeCell ref="BN248:CO249"/>
    <mergeCell ref="CP246:CQ247"/>
    <mergeCell ref="CP248:CQ249"/>
    <mergeCell ref="BN246:CO247"/>
    <mergeCell ref="AR245:AW246"/>
    <mergeCell ref="BF249:BK250"/>
    <mergeCell ref="CT246:CU247"/>
    <mergeCell ref="CT248:CU249"/>
    <mergeCell ref="CR246:CS247"/>
    <mergeCell ref="AT11:AW12"/>
    <mergeCell ref="AK193:BK193"/>
    <mergeCell ref="AK170:AN171"/>
    <mergeCell ref="BG101:BY102"/>
    <mergeCell ref="BY165:CW166"/>
    <mergeCell ref="BD13:BG15"/>
    <mergeCell ref="AY13:BB15"/>
    <mergeCell ref="AY11:BB12"/>
    <mergeCell ref="AT13:AW15"/>
    <mergeCell ref="BD11:BG12"/>
    <mergeCell ref="AQ56:AT58"/>
    <mergeCell ref="BA56:BD58"/>
    <mergeCell ref="CJ13:CW15"/>
    <mergeCell ref="CJ16:CW16"/>
    <mergeCell ref="CP49:CP50"/>
    <mergeCell ref="CP55:CP56"/>
    <mergeCell ref="CP53:CP54"/>
    <mergeCell ref="CM53:CO54"/>
    <mergeCell ref="BN14:CH15"/>
    <mergeCell ref="CQ49:CW50"/>
    <mergeCell ref="CD75:CG76"/>
    <mergeCell ref="BZ89:CB90"/>
    <mergeCell ref="BZ85:CB86"/>
    <mergeCell ref="AG230:AN230"/>
    <mergeCell ref="BF33:BF34"/>
    <mergeCell ref="BF35:BF36"/>
    <mergeCell ref="BF99:BF100"/>
    <mergeCell ref="AK174:AN175"/>
    <mergeCell ref="AG225:AN225"/>
    <mergeCell ref="AO225:BB225"/>
    <mergeCell ref="BG231:BH231"/>
    <mergeCell ref="BC229:BD229"/>
    <mergeCell ref="BE229:BF229"/>
    <mergeCell ref="BI232:BK232"/>
    <mergeCell ref="BG233:BH233"/>
    <mergeCell ref="BG226:BH226"/>
    <mergeCell ref="BI227:BK227"/>
    <mergeCell ref="BE228:BF228"/>
    <mergeCell ref="BE227:BF227"/>
    <mergeCell ref="BI230:BK230"/>
    <mergeCell ref="CR230:CS230"/>
    <mergeCell ref="CR226:CS226"/>
    <mergeCell ref="CT234:CU234"/>
    <mergeCell ref="CP232:CQ232"/>
    <mergeCell ref="BN231:CO231"/>
    <mergeCell ref="BN232:CO232"/>
    <mergeCell ref="CR227:CS227"/>
    <mergeCell ref="CT227:CU227"/>
    <mergeCell ref="CR228:CS228"/>
    <mergeCell ref="CT228:CU228"/>
    <mergeCell ref="BG236:BH236"/>
    <mergeCell ref="CR232:CS232"/>
    <mergeCell ref="CR231:CS231"/>
    <mergeCell ref="CT237:CU237"/>
    <mergeCell ref="BI233:BK233"/>
    <mergeCell ref="CR237:CS237"/>
    <mergeCell ref="CT235:CU235"/>
    <mergeCell ref="CR233:CS233"/>
    <mergeCell ref="CP237:CQ237"/>
    <mergeCell ref="CR235:CS235"/>
    <mergeCell ref="CT195:CU195"/>
    <mergeCell ref="BN233:CO233"/>
    <mergeCell ref="CT233:CU233"/>
    <mergeCell ref="AG237:BH237"/>
    <mergeCell ref="BE235:BF235"/>
    <mergeCell ref="BC236:BD236"/>
    <mergeCell ref="BE236:BF236"/>
    <mergeCell ref="BI234:BK234"/>
    <mergeCell ref="CP236:CQ236"/>
    <mergeCell ref="BI236:BK236"/>
    <mergeCell ref="CR216:CS216"/>
    <mergeCell ref="CP231:CQ231"/>
    <mergeCell ref="BE234:BF234"/>
    <mergeCell ref="CT198:CU198"/>
    <mergeCell ref="AK195:BK195"/>
    <mergeCell ref="AK196:BK196"/>
    <mergeCell ref="AK198:BK198"/>
    <mergeCell ref="CP195:CQ195"/>
    <mergeCell ref="CP196:CQ196"/>
    <mergeCell ref="CR195:CS195"/>
    <mergeCell ref="BN195:CO195"/>
    <mergeCell ref="BC231:BD231"/>
    <mergeCell ref="BC232:BD232"/>
    <mergeCell ref="BG235:BH235"/>
    <mergeCell ref="CP234:CQ234"/>
    <mergeCell ref="CP235:CQ235"/>
    <mergeCell ref="BN234:CO234"/>
    <mergeCell ref="BI235:BK235"/>
    <mergeCell ref="CP233:CQ233"/>
    <mergeCell ref="BG227:BH227"/>
    <mergeCell ref="BC235:BD235"/>
    <mergeCell ref="AG233:AN233"/>
    <mergeCell ref="AO231:BB231"/>
    <mergeCell ref="AD231:AF231"/>
    <mergeCell ref="BC230:BD230"/>
    <mergeCell ref="R202:AH202"/>
    <mergeCell ref="R203:AH203"/>
    <mergeCell ref="R204:AH204"/>
    <mergeCell ref="AK211:BK211"/>
    <mergeCell ref="AD223:AF223"/>
    <mergeCell ref="AK212:BK212"/>
    <mergeCell ref="BC223:BD223"/>
    <mergeCell ref="AG224:AN224"/>
    <mergeCell ref="AG231:AN231"/>
    <mergeCell ref="CT236:CU236"/>
    <mergeCell ref="AG229:AN229"/>
    <mergeCell ref="BE233:BF233"/>
    <mergeCell ref="BG234:BH234"/>
    <mergeCell ref="BI231:BK231"/>
    <mergeCell ref="AG232:AN232"/>
    <mergeCell ref="CR236:CS236"/>
    <mergeCell ref="CR234:CS234"/>
    <mergeCell ref="BC234:BD234"/>
    <mergeCell ref="AD234:AF234"/>
    <mergeCell ref="AO233:BB233"/>
    <mergeCell ref="AO232:BB232"/>
    <mergeCell ref="AO234:BB234"/>
    <mergeCell ref="AG234:AN234"/>
    <mergeCell ref="AD233:AF233"/>
    <mergeCell ref="AD232:AF232"/>
    <mergeCell ref="CP199:CQ199"/>
    <mergeCell ref="CR196:CS196"/>
    <mergeCell ref="AD226:AF226"/>
    <mergeCell ref="A225:AC225"/>
    <mergeCell ref="AD225:AF225"/>
    <mergeCell ref="A229:AC229"/>
    <mergeCell ref="R201:AH201"/>
    <mergeCell ref="A223:AC223"/>
    <mergeCell ref="AG226:AN226"/>
    <mergeCell ref="AK209:BK209"/>
    <mergeCell ref="CP200:CQ200"/>
    <mergeCell ref="CP202:CQ202"/>
    <mergeCell ref="CR190:CS190"/>
    <mergeCell ref="AK204:BK204"/>
    <mergeCell ref="AO226:BB226"/>
    <mergeCell ref="BI226:BK226"/>
    <mergeCell ref="BE225:BF225"/>
    <mergeCell ref="BI225:BK225"/>
    <mergeCell ref="AK197:BK197"/>
    <mergeCell ref="AK191:BK191"/>
    <mergeCell ref="AK210:BK210"/>
    <mergeCell ref="AK208:BK208"/>
    <mergeCell ref="CR202:CS202"/>
    <mergeCell ref="CT202:CU202"/>
    <mergeCell ref="CR205:CS205"/>
    <mergeCell ref="CR208:CS208"/>
    <mergeCell ref="AK207:BK207"/>
    <mergeCell ref="AK203:BK203"/>
    <mergeCell ref="R205:AH205"/>
    <mergeCell ref="R207:AH207"/>
    <mergeCell ref="CR184:CS184"/>
    <mergeCell ref="R199:AH199"/>
    <mergeCell ref="CP191:CQ191"/>
    <mergeCell ref="AK199:BK199"/>
    <mergeCell ref="AK202:BK202"/>
    <mergeCell ref="AK200:BK200"/>
    <mergeCell ref="R200:AH200"/>
    <mergeCell ref="AK201:BK201"/>
    <mergeCell ref="R165:U165"/>
    <mergeCell ref="AF174:AI175"/>
    <mergeCell ref="I172:L173"/>
    <mergeCell ref="AA170:AD171"/>
    <mergeCell ref="AA174:AD175"/>
    <mergeCell ref="AK192:BK192"/>
    <mergeCell ref="AZ168:BC169"/>
    <mergeCell ref="AZ172:BC173"/>
    <mergeCell ref="AP165:AS166"/>
    <mergeCell ref="AU172:AX173"/>
    <mergeCell ref="A170:G171"/>
    <mergeCell ref="W170:Z171"/>
    <mergeCell ref="W168:Z169"/>
    <mergeCell ref="AF168:AI169"/>
    <mergeCell ref="A188:C188"/>
    <mergeCell ref="W165:Z166"/>
    <mergeCell ref="N172:Q173"/>
    <mergeCell ref="W172:Z173"/>
    <mergeCell ref="AA168:AD169"/>
    <mergeCell ref="AF172:AI173"/>
    <mergeCell ref="BJ161:BM162"/>
    <mergeCell ref="AF159:AI160"/>
    <mergeCell ref="AP163:AS164"/>
    <mergeCell ref="AF163:AI164"/>
    <mergeCell ref="BT161:BW162"/>
    <mergeCell ref="CH75:CH76"/>
    <mergeCell ref="CD79:CG80"/>
    <mergeCell ref="CD81:CG82"/>
    <mergeCell ref="BZ87:CB88"/>
    <mergeCell ref="CH129:CH130"/>
    <mergeCell ref="CI75:CK76"/>
    <mergeCell ref="CI79:CK80"/>
    <mergeCell ref="CI77:CK78"/>
    <mergeCell ref="CH79:CH80"/>
    <mergeCell ref="CH77:CH78"/>
    <mergeCell ref="CH81:CH82"/>
    <mergeCell ref="CP105:CP106"/>
    <mergeCell ref="CP111:CP112"/>
    <mergeCell ref="CP115:CP116"/>
    <mergeCell ref="CM107:CO108"/>
    <mergeCell ref="CP113:CP114"/>
    <mergeCell ref="CP107:CP108"/>
    <mergeCell ref="CM115:CO116"/>
    <mergeCell ref="CM105:CO106"/>
    <mergeCell ref="CL109:CL110"/>
    <mergeCell ref="CL113:CL114"/>
    <mergeCell ref="CM109:CO110"/>
    <mergeCell ref="CM113:CO114"/>
    <mergeCell ref="CD77:CG78"/>
    <mergeCell ref="CM117:CO118"/>
    <mergeCell ref="CI85:CK86"/>
    <mergeCell ref="CD85:CG86"/>
    <mergeCell ref="CM97:CO98"/>
    <mergeCell ref="CD83:CG84"/>
    <mergeCell ref="CI97:CK98"/>
    <mergeCell ref="CL99:CL100"/>
    <mergeCell ref="CM99:CO100"/>
    <mergeCell ref="CI103:CK104"/>
    <mergeCell ref="CP97:CP98"/>
    <mergeCell ref="CI101:CK102"/>
    <mergeCell ref="CP99:CP100"/>
    <mergeCell ref="CP101:CP102"/>
    <mergeCell ref="CL101:CL102"/>
    <mergeCell ref="CQ55:CW56"/>
    <mergeCell ref="CQ53:CW54"/>
    <mergeCell ref="CP61:CP62"/>
    <mergeCell ref="CQ59:CW60"/>
    <mergeCell ref="CP63:CP64"/>
    <mergeCell ref="CP51:CP52"/>
    <mergeCell ref="CQ57:CW58"/>
    <mergeCell ref="CQ51:CW52"/>
    <mergeCell ref="CQ63:CW64"/>
    <mergeCell ref="CQ61:CW62"/>
    <mergeCell ref="CP59:CP60"/>
    <mergeCell ref="CM95:CO96"/>
    <mergeCell ref="CM69:CO70"/>
    <mergeCell ref="CM65:CO66"/>
    <mergeCell ref="CP71:CP72"/>
    <mergeCell ref="CP69:CP70"/>
    <mergeCell ref="CM61:CO62"/>
    <mergeCell ref="CP67:CP68"/>
    <mergeCell ref="CP95:CP96"/>
    <mergeCell ref="CP93:CP94"/>
    <mergeCell ref="CD47:CG48"/>
    <mergeCell ref="CP43:CP44"/>
    <mergeCell ref="CQ47:CW48"/>
    <mergeCell ref="CM47:CO48"/>
    <mergeCell ref="CM51:CO52"/>
    <mergeCell ref="CI57:CK58"/>
    <mergeCell ref="CL53:CL54"/>
    <mergeCell ref="CM57:CO58"/>
    <mergeCell ref="CP57:CP58"/>
    <mergeCell ref="CM49:CO50"/>
    <mergeCell ref="CI59:CK60"/>
    <mergeCell ref="CI53:CK54"/>
    <mergeCell ref="CI51:CK52"/>
    <mergeCell ref="CI45:CK46"/>
    <mergeCell ref="CI49:CK50"/>
    <mergeCell ref="CI55:CK56"/>
    <mergeCell ref="CH43:CH44"/>
    <mergeCell ref="CD51:CG52"/>
    <mergeCell ref="CH45:CH46"/>
    <mergeCell ref="CD43:CG44"/>
    <mergeCell ref="CI43:CK44"/>
    <mergeCell ref="CL51:CL52"/>
    <mergeCell ref="CL47:CL48"/>
    <mergeCell ref="CI47:CK48"/>
    <mergeCell ref="CH51:CH52"/>
    <mergeCell ref="CD45:CG46"/>
    <mergeCell ref="CL43:CL44"/>
    <mergeCell ref="CL35:CL36"/>
    <mergeCell ref="CM39:CO40"/>
    <mergeCell ref="CM63:CO64"/>
    <mergeCell ref="CL39:CL40"/>
    <mergeCell ref="CL45:CL46"/>
    <mergeCell ref="CM59:CO60"/>
    <mergeCell ref="CM43:CO44"/>
    <mergeCell ref="CL59:CL60"/>
    <mergeCell ref="CL55:CL56"/>
    <mergeCell ref="CL65:CL66"/>
    <mergeCell ref="CM41:CO42"/>
    <mergeCell ref="CL71:CL72"/>
    <mergeCell ref="CL67:CL68"/>
    <mergeCell ref="CL69:CL70"/>
    <mergeCell ref="CM45:CO46"/>
    <mergeCell ref="CL57:CL58"/>
    <mergeCell ref="CM55:CO56"/>
    <mergeCell ref="CM67:CO68"/>
    <mergeCell ref="CL61:CL62"/>
    <mergeCell ref="BG73:BY74"/>
    <mergeCell ref="BG85:BY86"/>
    <mergeCell ref="BG71:BY72"/>
    <mergeCell ref="CH71:CH72"/>
    <mergeCell ref="BG75:BY76"/>
    <mergeCell ref="BZ75:CB76"/>
    <mergeCell ref="BZ77:CB78"/>
    <mergeCell ref="BG79:BY80"/>
    <mergeCell ref="BG83:BY84"/>
    <mergeCell ref="BZ83:CB84"/>
    <mergeCell ref="BZ65:CB66"/>
    <mergeCell ref="CL63:CL64"/>
    <mergeCell ref="CI63:CK64"/>
    <mergeCell ref="BG69:BY70"/>
    <mergeCell ref="BZ71:CB72"/>
    <mergeCell ref="CI71:CK72"/>
    <mergeCell ref="CH63:CH64"/>
    <mergeCell ref="BZ63:CB64"/>
    <mergeCell ref="CI67:CK68"/>
    <mergeCell ref="CD71:CG72"/>
    <mergeCell ref="CV199:CW199"/>
    <mergeCell ref="CT199:CU199"/>
    <mergeCell ref="CT200:CU200"/>
    <mergeCell ref="CR201:CS201"/>
    <mergeCell ref="CR199:CS199"/>
    <mergeCell ref="CV201:CW201"/>
    <mergeCell ref="CT201:CU201"/>
    <mergeCell ref="CR200:CS200"/>
    <mergeCell ref="CT217:CU217"/>
    <mergeCell ref="CR215:CS215"/>
    <mergeCell ref="CT215:CU215"/>
    <mergeCell ref="CR194:CS194"/>
    <mergeCell ref="CT193:CU193"/>
    <mergeCell ref="CR212:CS212"/>
    <mergeCell ref="CT212:CU212"/>
    <mergeCell ref="CT197:CU197"/>
    <mergeCell ref="CR213:CS213"/>
    <mergeCell ref="CR198:CS198"/>
    <mergeCell ref="BZ79:CB80"/>
    <mergeCell ref="CP117:CP118"/>
    <mergeCell ref="CD109:CG110"/>
    <mergeCell ref="CI105:CK106"/>
    <mergeCell ref="CH107:CH108"/>
    <mergeCell ref="CI95:CK96"/>
    <mergeCell ref="CH101:CH102"/>
    <mergeCell ref="CL111:CL112"/>
    <mergeCell ref="CM111:CO112"/>
    <mergeCell ref="CP103:CP104"/>
    <mergeCell ref="CT216:CU216"/>
    <mergeCell ref="CP216:CQ216"/>
    <mergeCell ref="CR206:CS206"/>
    <mergeCell ref="CT206:CU206"/>
    <mergeCell ref="CR207:CS207"/>
    <mergeCell ref="AK188:BK188"/>
    <mergeCell ref="CT189:CU189"/>
    <mergeCell ref="CR189:CS189"/>
    <mergeCell ref="CT207:CU207"/>
    <mergeCell ref="AK194:BK194"/>
    <mergeCell ref="CV186:CW186"/>
    <mergeCell ref="CR183:CS183"/>
    <mergeCell ref="BF129:BF130"/>
    <mergeCell ref="BF131:BF132"/>
    <mergeCell ref="BF147:BF148"/>
    <mergeCell ref="BF143:BF144"/>
    <mergeCell ref="BF133:BF134"/>
    <mergeCell ref="BT165:BW166"/>
    <mergeCell ref="BT159:BW160"/>
    <mergeCell ref="BO161:BR162"/>
    <mergeCell ref="BF119:BF120"/>
    <mergeCell ref="BG125:BY126"/>
    <mergeCell ref="BG127:BY128"/>
    <mergeCell ref="BG129:BY130"/>
    <mergeCell ref="BG117:BY118"/>
    <mergeCell ref="BE159:BH160"/>
    <mergeCell ref="BO159:BR160"/>
    <mergeCell ref="BY160:CM161"/>
    <mergeCell ref="CD121:CG122"/>
    <mergeCell ref="CH119:CH120"/>
    <mergeCell ref="CD93:CG94"/>
    <mergeCell ref="CD99:CG100"/>
    <mergeCell ref="BG133:BL138"/>
    <mergeCell ref="BZ95:CB96"/>
    <mergeCell ref="CH87:CH88"/>
    <mergeCell ref="CD97:CG98"/>
    <mergeCell ref="CH97:CH98"/>
    <mergeCell ref="CD87:CG88"/>
    <mergeCell ref="CD107:CG108"/>
    <mergeCell ref="BG115:BY116"/>
    <mergeCell ref="CD69:CG70"/>
    <mergeCell ref="CH69:CH70"/>
    <mergeCell ref="CH105:CH106"/>
    <mergeCell ref="BF87:BF88"/>
    <mergeCell ref="BF127:BF128"/>
    <mergeCell ref="BF125:BF126"/>
    <mergeCell ref="BF93:BF94"/>
    <mergeCell ref="BF113:BF114"/>
    <mergeCell ref="BG77:BY78"/>
    <mergeCell ref="BF115:BF116"/>
    <mergeCell ref="CL107:CL108"/>
    <mergeCell ref="CD105:CG106"/>
    <mergeCell ref="CD103:CG104"/>
    <mergeCell ref="CD101:CG102"/>
    <mergeCell ref="CH103:CH104"/>
    <mergeCell ref="BE161:BH162"/>
    <mergeCell ref="BF103:BF104"/>
    <mergeCell ref="BF105:BF106"/>
    <mergeCell ref="BM133:CW138"/>
    <mergeCell ref="CI129:CK130"/>
    <mergeCell ref="CR180:CS180"/>
    <mergeCell ref="BT172:BW173"/>
    <mergeCell ref="BE172:BH173"/>
    <mergeCell ref="BJ170:BM171"/>
    <mergeCell ref="BT170:BW171"/>
    <mergeCell ref="BO170:BR171"/>
    <mergeCell ref="BE170:BH171"/>
    <mergeCell ref="BO174:BR175"/>
    <mergeCell ref="BY174:CW175"/>
    <mergeCell ref="AK178:BK179"/>
    <mergeCell ref="CP185:CQ185"/>
    <mergeCell ref="CP186:CQ186"/>
    <mergeCell ref="CR187:CS187"/>
    <mergeCell ref="BE163:BH164"/>
    <mergeCell ref="BJ168:BM169"/>
    <mergeCell ref="BE168:BH169"/>
    <mergeCell ref="BE174:BH175"/>
    <mergeCell ref="BY169:CM170"/>
    <mergeCell ref="AK181:BK181"/>
    <mergeCell ref="BO168:BR169"/>
    <mergeCell ref="BT163:BW164"/>
    <mergeCell ref="BY163:CW164"/>
    <mergeCell ref="CO160:CW161"/>
    <mergeCell ref="BT174:BW175"/>
    <mergeCell ref="CT184:CU184"/>
    <mergeCell ref="BT168:BW169"/>
    <mergeCell ref="CO169:CW170"/>
    <mergeCell ref="CV184:CW184"/>
    <mergeCell ref="BN178:CW179"/>
    <mergeCell ref="BO165:BR166"/>
    <mergeCell ref="CT190:CU190"/>
    <mergeCell ref="CV188:CW188"/>
    <mergeCell ref="CV189:CW189"/>
    <mergeCell ref="CP188:CQ188"/>
    <mergeCell ref="BN188:CO188"/>
    <mergeCell ref="CP189:CQ189"/>
    <mergeCell ref="CV190:CW190"/>
    <mergeCell ref="CP190:CQ190"/>
    <mergeCell ref="CT188:CU188"/>
    <mergeCell ref="CR188:CS188"/>
    <mergeCell ref="U92:Z93"/>
    <mergeCell ref="AA92:BD93"/>
    <mergeCell ref="R94:BD94"/>
    <mergeCell ref="AC117:AO117"/>
    <mergeCell ref="R117:AB117"/>
    <mergeCell ref="U101:Z101"/>
    <mergeCell ref="R105:BD105"/>
    <mergeCell ref="L101:T101"/>
    <mergeCell ref="AP117:BD117"/>
    <mergeCell ref="AK98:AT100"/>
    <mergeCell ref="AU88:BD90"/>
    <mergeCell ref="BG89:BY90"/>
    <mergeCell ref="R88:AJ90"/>
    <mergeCell ref="AA91:BD91"/>
    <mergeCell ref="A96:Q97"/>
    <mergeCell ref="BG95:BY96"/>
    <mergeCell ref="BG93:BY94"/>
    <mergeCell ref="AK88:AT90"/>
    <mergeCell ref="A91:F91"/>
    <mergeCell ref="G91:K91"/>
    <mergeCell ref="AU78:BD80"/>
    <mergeCell ref="BF77:BF78"/>
    <mergeCell ref="AK77:AT77"/>
    <mergeCell ref="AK78:AT80"/>
    <mergeCell ref="BF79:BF80"/>
    <mergeCell ref="AA82:BD83"/>
    <mergeCell ref="BF81:BF82"/>
    <mergeCell ref="BF83:BF84"/>
    <mergeCell ref="AU77:BD77"/>
    <mergeCell ref="BF85:BF86"/>
    <mergeCell ref="T120:Z120"/>
    <mergeCell ref="T121:Z122"/>
    <mergeCell ref="U91:Z91"/>
    <mergeCell ref="R85:BD85"/>
    <mergeCell ref="BF101:BF102"/>
    <mergeCell ref="BF95:BF96"/>
    <mergeCell ref="BF97:BF98"/>
    <mergeCell ref="BF89:BF90"/>
    <mergeCell ref="BF91:BF92"/>
    <mergeCell ref="AU98:BD100"/>
    <mergeCell ref="R95:BD95"/>
    <mergeCell ref="L112:T113"/>
    <mergeCell ref="AA111:BD111"/>
    <mergeCell ref="A108:Q110"/>
    <mergeCell ref="A112:F113"/>
    <mergeCell ref="A101:F101"/>
    <mergeCell ref="R108:AJ110"/>
    <mergeCell ref="L111:T111"/>
    <mergeCell ref="U111:Z111"/>
    <mergeCell ref="AO72:AR74"/>
    <mergeCell ref="AU161:AX162"/>
    <mergeCell ref="AC126:AO127"/>
    <mergeCell ref="AA120:BD120"/>
    <mergeCell ref="AA121:BD122"/>
    <mergeCell ref="AC118:AO119"/>
    <mergeCell ref="AC125:AO125"/>
    <mergeCell ref="AP125:BD125"/>
    <mergeCell ref="AU159:AX160"/>
    <mergeCell ref="AP118:BD119"/>
    <mergeCell ref="AJ66:AM68"/>
    <mergeCell ref="AK172:AN173"/>
    <mergeCell ref="AU168:AX169"/>
    <mergeCell ref="AP168:AS169"/>
    <mergeCell ref="AU163:AX164"/>
    <mergeCell ref="AU165:AX166"/>
    <mergeCell ref="AP134:BD135"/>
    <mergeCell ref="AA128:BD128"/>
    <mergeCell ref="Z66:AC68"/>
    <mergeCell ref="AF161:AI162"/>
    <mergeCell ref="BF69:BF70"/>
    <mergeCell ref="AO69:AR71"/>
    <mergeCell ref="AU70:BD71"/>
    <mergeCell ref="AP161:AS162"/>
    <mergeCell ref="AP159:AS160"/>
    <mergeCell ref="AK159:AN160"/>
    <mergeCell ref="AK161:AN162"/>
    <mergeCell ref="AC134:AO135"/>
    <mergeCell ref="AP126:BD127"/>
    <mergeCell ref="AK108:AT110"/>
    <mergeCell ref="U72:X74"/>
    <mergeCell ref="Z72:AC74"/>
    <mergeCell ref="AJ72:AM74"/>
    <mergeCell ref="AE72:AH74"/>
    <mergeCell ref="Z69:AC71"/>
    <mergeCell ref="AE69:AH71"/>
    <mergeCell ref="A66:I68"/>
    <mergeCell ref="P66:S68"/>
    <mergeCell ref="A81:F81"/>
    <mergeCell ref="G81:K81"/>
    <mergeCell ref="A78:Q80"/>
    <mergeCell ref="P72:S74"/>
    <mergeCell ref="K72:N74"/>
    <mergeCell ref="A72:I74"/>
    <mergeCell ref="A69:I71"/>
    <mergeCell ref="P69:S71"/>
    <mergeCell ref="AJ1:AO2"/>
    <mergeCell ref="AJ7:AO8"/>
    <mergeCell ref="AJ4:AT5"/>
    <mergeCell ref="AQ7:AV8"/>
    <mergeCell ref="AQ1:BL2"/>
    <mergeCell ref="AV4:BL5"/>
    <mergeCell ref="BD7:BG8"/>
    <mergeCell ref="AX7:BB8"/>
    <mergeCell ref="BI7:BL8"/>
    <mergeCell ref="AB52:AJ54"/>
    <mergeCell ref="A52:K54"/>
    <mergeCell ref="AJ69:AM71"/>
    <mergeCell ref="U69:X71"/>
    <mergeCell ref="AE66:AH68"/>
    <mergeCell ref="P64:S65"/>
    <mergeCell ref="U64:X65"/>
    <mergeCell ref="AK55:AP55"/>
    <mergeCell ref="K64:N65"/>
    <mergeCell ref="U66:X68"/>
    <mergeCell ref="K66:N68"/>
    <mergeCell ref="AB56:AJ58"/>
    <mergeCell ref="AJ64:AM65"/>
    <mergeCell ref="AL56:AO58"/>
    <mergeCell ref="K69:N71"/>
    <mergeCell ref="A88:Q90"/>
    <mergeCell ref="A82:F83"/>
    <mergeCell ref="Z64:AC65"/>
    <mergeCell ref="AE64:AH65"/>
    <mergeCell ref="AO66:AR68"/>
    <mergeCell ref="D84:Q84"/>
    <mergeCell ref="G82:K83"/>
    <mergeCell ref="L82:T83"/>
    <mergeCell ref="R87:AJ87"/>
    <mergeCell ref="U82:Z83"/>
    <mergeCell ref="R84:BD84"/>
    <mergeCell ref="AU87:BD87"/>
    <mergeCell ref="AK87:AT87"/>
    <mergeCell ref="A86:Q87"/>
    <mergeCell ref="AO13:AR15"/>
    <mergeCell ref="A76:Q77"/>
    <mergeCell ref="L81:T81"/>
    <mergeCell ref="R77:AJ77"/>
    <mergeCell ref="R78:AJ80"/>
    <mergeCell ref="AA81:BD81"/>
    <mergeCell ref="U81:Z81"/>
    <mergeCell ref="M56:Z58"/>
    <mergeCell ref="AV52:AY54"/>
    <mergeCell ref="W17:Z19"/>
    <mergeCell ref="A137:G138"/>
    <mergeCell ref="T137:Z138"/>
    <mergeCell ref="H137:N138"/>
    <mergeCell ref="A4:AH5"/>
    <mergeCell ref="A7:S8"/>
    <mergeCell ref="U7:AA8"/>
    <mergeCell ref="AC7:AH8"/>
    <mergeCell ref="H10:K12"/>
    <mergeCell ref="A11:F12"/>
    <mergeCell ref="A84:C84"/>
    <mergeCell ref="R134:AB135"/>
    <mergeCell ref="AA136:BD136"/>
    <mergeCell ref="AA137:BD138"/>
    <mergeCell ref="O136:S136"/>
    <mergeCell ref="AK163:AN164"/>
    <mergeCell ref="AZ161:BC162"/>
    <mergeCell ref="W163:Z164"/>
    <mergeCell ref="W161:Z162"/>
    <mergeCell ref="AZ163:BC164"/>
    <mergeCell ref="R133:AB133"/>
    <mergeCell ref="A134:Q135"/>
    <mergeCell ref="O137:S138"/>
    <mergeCell ref="T136:Z136"/>
    <mergeCell ref="A132:Q133"/>
    <mergeCell ref="AP172:AS173"/>
    <mergeCell ref="AA172:AD173"/>
    <mergeCell ref="A136:G136"/>
    <mergeCell ref="H136:N136"/>
    <mergeCell ref="A161:G162"/>
    <mergeCell ref="W159:Z160"/>
    <mergeCell ref="AZ159:BC160"/>
    <mergeCell ref="AF170:AI171"/>
    <mergeCell ref="AA165:AD166"/>
    <mergeCell ref="AK168:AN169"/>
    <mergeCell ref="A205:P205"/>
    <mergeCell ref="I161:L162"/>
    <mergeCell ref="AK165:AN166"/>
    <mergeCell ref="I170:L171"/>
    <mergeCell ref="N165:Q165"/>
    <mergeCell ref="AK206:BK206"/>
    <mergeCell ref="AK205:BK205"/>
    <mergeCell ref="AU174:AX175"/>
    <mergeCell ref="AP170:AS171"/>
    <mergeCell ref="AP174:AS175"/>
    <mergeCell ref="AZ174:BC175"/>
    <mergeCell ref="BJ174:BM175"/>
    <mergeCell ref="AZ170:BC171"/>
    <mergeCell ref="AU170:AX171"/>
    <mergeCell ref="BJ172:BM173"/>
    <mergeCell ref="AK107:AT107"/>
    <mergeCell ref="U112:Z113"/>
    <mergeCell ref="G112:K113"/>
    <mergeCell ref="BY172:CW173"/>
    <mergeCell ref="Z248:AO249"/>
    <mergeCell ref="A230:AC230"/>
    <mergeCell ref="BG230:BH230"/>
    <mergeCell ref="BG228:BH228"/>
    <mergeCell ref="I159:T160"/>
    <mergeCell ref="A163:G164"/>
    <mergeCell ref="CV232:CW232"/>
    <mergeCell ref="AD229:AF229"/>
    <mergeCell ref="CV231:CW231"/>
    <mergeCell ref="CR193:CS193"/>
    <mergeCell ref="A111:F111"/>
    <mergeCell ref="G111:K111"/>
    <mergeCell ref="AA112:BD113"/>
    <mergeCell ref="I163:L164"/>
    <mergeCell ref="AO230:BB230"/>
    <mergeCell ref="AO229:BB229"/>
    <mergeCell ref="CV219:CW219"/>
    <mergeCell ref="CV227:CW227"/>
    <mergeCell ref="CV220:CW220"/>
    <mergeCell ref="A248:W249"/>
    <mergeCell ref="CV229:CW229"/>
    <mergeCell ref="CV233:CW233"/>
    <mergeCell ref="CV236:CW236"/>
    <mergeCell ref="CV237:CW237"/>
    <mergeCell ref="CV234:CW234"/>
    <mergeCell ref="CV235:CW235"/>
    <mergeCell ref="CR218:CS218"/>
    <mergeCell ref="CT218:CU218"/>
    <mergeCell ref="CR220:CS220"/>
    <mergeCell ref="CT220:CU220"/>
    <mergeCell ref="CR219:CS219"/>
    <mergeCell ref="CT219:CU219"/>
    <mergeCell ref="CV208:CW208"/>
    <mergeCell ref="CV209:CW209"/>
    <mergeCell ref="CV218:CW218"/>
    <mergeCell ref="CV223:CW223"/>
    <mergeCell ref="CV207:CW207"/>
    <mergeCell ref="CV214:CW214"/>
    <mergeCell ref="CV210:CW210"/>
    <mergeCell ref="CV216:CW216"/>
    <mergeCell ref="CV215:CW215"/>
    <mergeCell ref="CV213:CW213"/>
    <mergeCell ref="CV212:CW212"/>
    <mergeCell ref="CV204:CW204"/>
    <mergeCell ref="CV205:CW205"/>
    <mergeCell ref="CV202:CW202"/>
    <mergeCell ref="CV191:CW191"/>
    <mergeCell ref="CT191:CU191"/>
    <mergeCell ref="CT194:CU194"/>
    <mergeCell ref="CT205:CU205"/>
    <mergeCell ref="CV203:CW203"/>
    <mergeCell ref="CV200:CW200"/>
    <mergeCell ref="CR217:CS217"/>
    <mergeCell ref="CV192:CW192"/>
    <mergeCell ref="CT196:CU196"/>
    <mergeCell ref="CV206:CW206"/>
    <mergeCell ref="CR203:CS203"/>
    <mergeCell ref="CT203:CU203"/>
    <mergeCell ref="CR214:CS214"/>
    <mergeCell ref="CR211:CS211"/>
    <mergeCell ref="CV217:CW217"/>
    <mergeCell ref="CT208:CU208"/>
    <mergeCell ref="CP192:CQ192"/>
    <mergeCell ref="CV225:CW225"/>
    <mergeCell ref="CV211:CW211"/>
    <mergeCell ref="CR192:CS192"/>
    <mergeCell ref="CR191:CS191"/>
    <mergeCell ref="CT192:CU192"/>
    <mergeCell ref="CP193:CQ193"/>
    <mergeCell ref="CP194:CQ194"/>
    <mergeCell ref="CR204:CS204"/>
    <mergeCell ref="CT204:CU204"/>
    <mergeCell ref="BO163:BR164"/>
    <mergeCell ref="BO172:BR173"/>
    <mergeCell ref="BN193:CO193"/>
    <mergeCell ref="BN194:CO194"/>
    <mergeCell ref="BZ127:CB128"/>
    <mergeCell ref="CH127:CH128"/>
    <mergeCell ref="CD129:CG130"/>
    <mergeCell ref="CD127:CG128"/>
    <mergeCell ref="BZ129:CB130"/>
    <mergeCell ref="CI127:CK128"/>
    <mergeCell ref="BN192:CO192"/>
    <mergeCell ref="BN189:CO189"/>
    <mergeCell ref="CI121:CK122"/>
    <mergeCell ref="BZ119:CB120"/>
    <mergeCell ref="BG123:BY124"/>
    <mergeCell ref="BZ123:CB124"/>
    <mergeCell ref="CD119:CG120"/>
    <mergeCell ref="BG119:BY120"/>
    <mergeCell ref="BG121:BY122"/>
    <mergeCell ref="BZ121:CB122"/>
    <mergeCell ref="CL123:CL124"/>
    <mergeCell ref="BZ117:CB118"/>
    <mergeCell ref="CD117:CG118"/>
    <mergeCell ref="CL117:CL118"/>
    <mergeCell ref="CI119:CK120"/>
    <mergeCell ref="CH117:CH118"/>
    <mergeCell ref="CH121:CH122"/>
    <mergeCell ref="CL119:CL120"/>
    <mergeCell ref="CL121:CL122"/>
    <mergeCell ref="CI117:CK118"/>
    <mergeCell ref="BF109:BF110"/>
    <mergeCell ref="BF107:BF108"/>
    <mergeCell ref="BF111:BF112"/>
    <mergeCell ref="R115:BD115"/>
    <mergeCell ref="BZ101:CB102"/>
    <mergeCell ref="BZ103:CB104"/>
    <mergeCell ref="BZ105:CB106"/>
    <mergeCell ref="BG103:BY104"/>
    <mergeCell ref="BG105:BY106"/>
    <mergeCell ref="R104:BD104"/>
    <mergeCell ref="BZ107:CB108"/>
    <mergeCell ref="BG107:BY108"/>
    <mergeCell ref="R107:AJ107"/>
    <mergeCell ref="BG109:BY110"/>
    <mergeCell ref="BZ97:CB98"/>
    <mergeCell ref="BG97:BY98"/>
    <mergeCell ref="BG99:BY100"/>
    <mergeCell ref="AK97:AT97"/>
    <mergeCell ref="AU97:BD97"/>
    <mergeCell ref="AU108:BD110"/>
    <mergeCell ref="CM93:CO94"/>
    <mergeCell ref="BZ93:CB94"/>
    <mergeCell ref="CH95:CH96"/>
    <mergeCell ref="CL97:CL98"/>
    <mergeCell ref="CI99:CK100"/>
    <mergeCell ref="CL95:CL96"/>
    <mergeCell ref="CL93:CL94"/>
    <mergeCell ref="CH93:CH94"/>
    <mergeCell ref="CI93:CK94"/>
    <mergeCell ref="CH99:CH100"/>
    <mergeCell ref="CL89:CL90"/>
    <mergeCell ref="CI89:CK90"/>
    <mergeCell ref="CI91:CK92"/>
    <mergeCell ref="CM91:CO92"/>
    <mergeCell ref="CI87:CK88"/>
    <mergeCell ref="CL91:CL92"/>
    <mergeCell ref="CL77:CL78"/>
    <mergeCell ref="CL79:CL80"/>
    <mergeCell ref="CP79:CP80"/>
    <mergeCell ref="CM85:CO86"/>
    <mergeCell ref="CL81:CL82"/>
    <mergeCell ref="CM87:CO88"/>
    <mergeCell ref="CP77:CP78"/>
    <mergeCell ref="CM79:CO80"/>
    <mergeCell ref="CM77:CO78"/>
    <mergeCell ref="CD91:CG92"/>
    <mergeCell ref="CH89:CH90"/>
    <mergeCell ref="CH91:CH92"/>
    <mergeCell ref="CL83:CL84"/>
    <mergeCell ref="CH83:CH84"/>
    <mergeCell ref="CP89:CP90"/>
    <mergeCell ref="CP91:CP92"/>
    <mergeCell ref="CM89:CO90"/>
    <mergeCell ref="CP87:CP88"/>
    <mergeCell ref="CL87:CL88"/>
    <mergeCell ref="BG87:BY88"/>
    <mergeCell ref="CL85:CL86"/>
    <mergeCell ref="CM81:CO82"/>
    <mergeCell ref="CP83:CP84"/>
    <mergeCell ref="CP81:CP82"/>
    <mergeCell ref="CM83:CO84"/>
    <mergeCell ref="CP85:CP86"/>
    <mergeCell ref="BZ81:CB82"/>
    <mergeCell ref="CI81:CK82"/>
    <mergeCell ref="BZ61:CB62"/>
    <mergeCell ref="CD63:CG64"/>
    <mergeCell ref="CH65:CH66"/>
    <mergeCell ref="CP73:CP74"/>
    <mergeCell ref="CM73:CO74"/>
    <mergeCell ref="BZ69:CB70"/>
    <mergeCell ref="BZ73:CB74"/>
    <mergeCell ref="CP65:CP66"/>
    <mergeCell ref="CM71:CO72"/>
    <mergeCell ref="CI73:CK74"/>
    <mergeCell ref="AO64:AR65"/>
    <mergeCell ref="CH67:CH68"/>
    <mergeCell ref="BG65:BY66"/>
    <mergeCell ref="BG67:BY68"/>
    <mergeCell ref="BG63:BY64"/>
    <mergeCell ref="BG59:BY60"/>
    <mergeCell ref="BG61:BY62"/>
    <mergeCell ref="CD59:CG60"/>
    <mergeCell ref="CD61:CG62"/>
    <mergeCell ref="CH61:CH62"/>
    <mergeCell ref="AQ52:AT54"/>
    <mergeCell ref="AQ50:AT51"/>
    <mergeCell ref="AQ55:AT55"/>
    <mergeCell ref="AV55:AY55"/>
    <mergeCell ref="BA55:BD55"/>
    <mergeCell ref="BF49:BF50"/>
    <mergeCell ref="BF53:BF54"/>
    <mergeCell ref="BF51:BF52"/>
    <mergeCell ref="AV50:AY51"/>
    <mergeCell ref="BA50:BD51"/>
    <mergeCell ref="BA52:BD54"/>
    <mergeCell ref="BG53:BY54"/>
    <mergeCell ref="BF55:BF56"/>
    <mergeCell ref="BG55:BY56"/>
    <mergeCell ref="CD53:CG54"/>
    <mergeCell ref="CH53:CH54"/>
    <mergeCell ref="CD49:CG50"/>
    <mergeCell ref="CH49:CH50"/>
    <mergeCell ref="BF57:BF58"/>
    <mergeCell ref="BG49:BY50"/>
    <mergeCell ref="BG51:BY52"/>
    <mergeCell ref="CD55:CG56"/>
    <mergeCell ref="CD57:CG58"/>
    <mergeCell ref="AQ46:BE48"/>
    <mergeCell ref="BZ43:CB44"/>
    <mergeCell ref="BZ45:CB46"/>
    <mergeCell ref="BF47:BF48"/>
    <mergeCell ref="BG43:BY44"/>
    <mergeCell ref="BZ59:CB60"/>
    <mergeCell ref="BZ49:CB50"/>
    <mergeCell ref="BZ55:CB56"/>
    <mergeCell ref="BZ51:CB52"/>
    <mergeCell ref="AV56:AY58"/>
    <mergeCell ref="BG45:BY46"/>
    <mergeCell ref="BF37:BF38"/>
    <mergeCell ref="BF39:BF40"/>
    <mergeCell ref="BZ39:CB40"/>
    <mergeCell ref="BG47:BY48"/>
    <mergeCell ref="BZ47:CB48"/>
    <mergeCell ref="BG41:BY42"/>
    <mergeCell ref="BF41:BF42"/>
    <mergeCell ref="AG42:AJ44"/>
    <mergeCell ref="BZ37:CB38"/>
    <mergeCell ref="BF43:BF44"/>
    <mergeCell ref="BZ35:CB36"/>
    <mergeCell ref="BG37:BY38"/>
    <mergeCell ref="BG39:BY40"/>
    <mergeCell ref="AQ40:BE42"/>
    <mergeCell ref="AQ37:BE39"/>
    <mergeCell ref="BG35:BY36"/>
    <mergeCell ref="BZ41:CB42"/>
    <mergeCell ref="AQ36:BE36"/>
    <mergeCell ref="AQ43:BE45"/>
    <mergeCell ref="H33:K35"/>
    <mergeCell ref="W33:Z35"/>
    <mergeCell ref="M33:P35"/>
    <mergeCell ref="BF31:BF32"/>
    <mergeCell ref="BB32:BE34"/>
    <mergeCell ref="AC33:AH34"/>
    <mergeCell ref="AC31:AH31"/>
    <mergeCell ref="AB36:AE37"/>
    <mergeCell ref="AJ29:AM31"/>
    <mergeCell ref="AJ33:AM35"/>
    <mergeCell ref="AC35:AH35"/>
    <mergeCell ref="AC29:AH30"/>
    <mergeCell ref="BB28:BE30"/>
    <mergeCell ref="AC25:AH26"/>
    <mergeCell ref="AJ25:AM27"/>
    <mergeCell ref="AC27:AH27"/>
    <mergeCell ref="AY24:BB25"/>
    <mergeCell ref="AT24:AW25"/>
    <mergeCell ref="H13:K15"/>
    <mergeCell ref="R13:U15"/>
    <mergeCell ref="M13:P15"/>
    <mergeCell ref="H21:K23"/>
    <mergeCell ref="M21:P23"/>
    <mergeCell ref="R21:U23"/>
    <mergeCell ref="M17:P19"/>
    <mergeCell ref="R17:U19"/>
    <mergeCell ref="H17:K19"/>
    <mergeCell ref="W21:Z23"/>
    <mergeCell ref="AC21:AH22"/>
    <mergeCell ref="AC23:AH23"/>
    <mergeCell ref="CO17:CR19"/>
    <mergeCell ref="CO20:CR20"/>
    <mergeCell ref="BN17:CM19"/>
    <mergeCell ref="AO21:AR23"/>
    <mergeCell ref="AC17:AH18"/>
    <mergeCell ref="AC19:AH19"/>
    <mergeCell ref="AJ17:AM19"/>
    <mergeCell ref="CT17:CW19"/>
    <mergeCell ref="AJ21:AM23"/>
    <mergeCell ref="CT20:CW20"/>
    <mergeCell ref="BS21:BV23"/>
    <mergeCell ref="BX21:CA23"/>
    <mergeCell ref="BN20:CM20"/>
    <mergeCell ref="CI21:CW23"/>
    <mergeCell ref="AO17:BL19"/>
    <mergeCell ref="CC21:CF23"/>
    <mergeCell ref="BD21:BG23"/>
    <mergeCell ref="BN21:BQ23"/>
    <mergeCell ref="CC24:CF25"/>
    <mergeCell ref="BZ33:CB34"/>
    <mergeCell ref="BG31:BY32"/>
    <mergeCell ref="BG26:CW27"/>
    <mergeCell ref="CI24:CW25"/>
    <mergeCell ref="BG33:BY34"/>
    <mergeCell ref="CQ28:CW30"/>
    <mergeCell ref="CM28:CO30"/>
    <mergeCell ref="CI28:CK30"/>
    <mergeCell ref="CM33:CO34"/>
    <mergeCell ref="CL31:CL32"/>
    <mergeCell ref="BN24:BQ25"/>
    <mergeCell ref="BR24:BW25"/>
    <mergeCell ref="BX24:CA25"/>
    <mergeCell ref="CD28:CG30"/>
    <mergeCell ref="AO25:AR26"/>
    <mergeCell ref="CH31:CH32"/>
    <mergeCell ref="CD31:CG32"/>
    <mergeCell ref="BD24:BG25"/>
    <mergeCell ref="AN27:AS27"/>
    <mergeCell ref="AQ32:AZ34"/>
    <mergeCell ref="BF29:BF30"/>
    <mergeCell ref="CP35:CP36"/>
    <mergeCell ref="CP37:CP38"/>
    <mergeCell ref="CD39:CG40"/>
    <mergeCell ref="CH39:CH40"/>
    <mergeCell ref="AT21:AW23"/>
    <mergeCell ref="BI24:BL25"/>
    <mergeCell ref="AY21:BB23"/>
    <mergeCell ref="BI21:BL23"/>
    <mergeCell ref="CI31:CK32"/>
    <mergeCell ref="CI33:CK34"/>
    <mergeCell ref="CD41:CG42"/>
    <mergeCell ref="CD37:CG38"/>
    <mergeCell ref="CH37:CH38"/>
    <mergeCell ref="CM37:CO38"/>
    <mergeCell ref="CL41:CL42"/>
    <mergeCell ref="BZ31:CB32"/>
    <mergeCell ref="CD33:CG34"/>
    <mergeCell ref="CH33:CH34"/>
    <mergeCell ref="CM31:CO32"/>
    <mergeCell ref="CI41:CK42"/>
    <mergeCell ref="CP39:CP40"/>
    <mergeCell ref="CQ45:CW46"/>
    <mergeCell ref="CP47:CP48"/>
    <mergeCell ref="CQ39:CW40"/>
    <mergeCell ref="CP45:CP46"/>
    <mergeCell ref="CP41:CP42"/>
    <mergeCell ref="CQ43:CW44"/>
    <mergeCell ref="CL75:CL76"/>
    <mergeCell ref="CL73:CL74"/>
    <mergeCell ref="CI61:CK62"/>
    <mergeCell ref="CL49:CL50"/>
    <mergeCell ref="CQ41:CW42"/>
    <mergeCell ref="CH41:CH42"/>
    <mergeCell ref="CH55:CH56"/>
    <mergeCell ref="CP75:CP76"/>
    <mergeCell ref="CM75:CO76"/>
    <mergeCell ref="CH57:CH58"/>
    <mergeCell ref="CI115:CK116"/>
    <mergeCell ref="A1:AH2"/>
    <mergeCell ref="R33:U35"/>
    <mergeCell ref="M10:P12"/>
    <mergeCell ref="R10:U12"/>
    <mergeCell ref="W10:Z12"/>
    <mergeCell ref="CH47:CH48"/>
    <mergeCell ref="W13:Z15"/>
    <mergeCell ref="H25:K27"/>
    <mergeCell ref="CH59:CH60"/>
    <mergeCell ref="CM101:CO102"/>
    <mergeCell ref="CL105:CL106"/>
    <mergeCell ref="CL103:CL104"/>
    <mergeCell ref="CM103:CO104"/>
    <mergeCell ref="W29:Z31"/>
    <mergeCell ref="W25:Z27"/>
    <mergeCell ref="W46:Z48"/>
    <mergeCell ref="AB46:AE48"/>
    <mergeCell ref="AB42:AE44"/>
    <mergeCell ref="AB38:AE40"/>
    <mergeCell ref="M25:P27"/>
    <mergeCell ref="R29:U31"/>
    <mergeCell ref="M29:P31"/>
    <mergeCell ref="H29:K31"/>
    <mergeCell ref="R25:U27"/>
    <mergeCell ref="W36:Z37"/>
    <mergeCell ref="A36:K37"/>
    <mergeCell ref="M46:P48"/>
    <mergeCell ref="M52:Z54"/>
    <mergeCell ref="AL50:AO51"/>
    <mergeCell ref="M42:P44"/>
    <mergeCell ref="R36:U37"/>
    <mergeCell ref="M37:P37"/>
    <mergeCell ref="R42:U44"/>
    <mergeCell ref="R38:U40"/>
    <mergeCell ref="W38:Z40"/>
    <mergeCell ref="W42:Z44"/>
    <mergeCell ref="AL38:AO40"/>
    <mergeCell ref="AG46:AJ48"/>
    <mergeCell ref="AL42:AO44"/>
    <mergeCell ref="AL46:AO48"/>
    <mergeCell ref="A114:C114"/>
    <mergeCell ref="L91:T91"/>
    <mergeCell ref="G101:K101"/>
    <mergeCell ref="AA101:BD101"/>
    <mergeCell ref="R98:AJ100"/>
    <mergeCell ref="AL52:AO54"/>
    <mergeCell ref="D114:Q114"/>
    <mergeCell ref="R114:BD114"/>
    <mergeCell ref="AA102:BD103"/>
    <mergeCell ref="A102:F103"/>
    <mergeCell ref="U102:Z103"/>
    <mergeCell ref="G102:K103"/>
    <mergeCell ref="L102:T103"/>
    <mergeCell ref="A106:Q107"/>
    <mergeCell ref="A104:C104"/>
    <mergeCell ref="AU107:BD107"/>
    <mergeCell ref="BG113:BY114"/>
    <mergeCell ref="BG111:BY112"/>
    <mergeCell ref="BZ111:CB112"/>
    <mergeCell ref="CL115:CL116"/>
    <mergeCell ref="CI109:CK110"/>
    <mergeCell ref="BZ113:CB114"/>
    <mergeCell ref="CD115:CG116"/>
    <mergeCell ref="CD113:CG114"/>
    <mergeCell ref="BZ115:CB116"/>
    <mergeCell ref="CH115:CH116"/>
    <mergeCell ref="BZ125:CB126"/>
    <mergeCell ref="CD125:CG126"/>
    <mergeCell ref="CI125:CK126"/>
    <mergeCell ref="CH123:CH124"/>
    <mergeCell ref="CI123:CK124"/>
    <mergeCell ref="CH125:CH126"/>
    <mergeCell ref="CD123:CG124"/>
    <mergeCell ref="AU65:BD68"/>
    <mergeCell ref="BZ67:CB68"/>
    <mergeCell ref="CD67:CG68"/>
    <mergeCell ref="CD95:CG96"/>
    <mergeCell ref="BZ99:CB100"/>
    <mergeCell ref="CD65:CG66"/>
    <mergeCell ref="BG81:BY82"/>
    <mergeCell ref="BG91:BY92"/>
    <mergeCell ref="BZ91:CB92"/>
    <mergeCell ref="CD89:CG90"/>
    <mergeCell ref="CD111:CG112"/>
    <mergeCell ref="BZ109:CB110"/>
    <mergeCell ref="CI111:CK112"/>
    <mergeCell ref="CI113:CK114"/>
    <mergeCell ref="CH109:CH110"/>
    <mergeCell ref="CH111:CH112"/>
    <mergeCell ref="CH113:CH114"/>
    <mergeCell ref="CI65:CK66"/>
    <mergeCell ref="CH73:CH74"/>
    <mergeCell ref="BG57:BY58"/>
    <mergeCell ref="BZ57:CB58"/>
    <mergeCell ref="BZ53:CB54"/>
    <mergeCell ref="A224:AC224"/>
    <mergeCell ref="A199:P199"/>
    <mergeCell ref="A207:P207"/>
    <mergeCell ref="BN202:CO202"/>
    <mergeCell ref="BN203:CO203"/>
    <mergeCell ref="A227:AC227"/>
    <mergeCell ref="BG229:BH229"/>
    <mergeCell ref="BI229:BK229"/>
    <mergeCell ref="BI228:BK228"/>
    <mergeCell ref="CQ75:CW76"/>
    <mergeCell ref="CQ89:CW90"/>
    <mergeCell ref="CQ91:CW92"/>
    <mergeCell ref="CQ93:CW94"/>
    <mergeCell ref="CQ83:CW84"/>
    <mergeCell ref="CQ85:CW86"/>
    <mergeCell ref="CQ65:CW66"/>
    <mergeCell ref="CQ67:CW68"/>
    <mergeCell ref="CQ71:CW72"/>
    <mergeCell ref="CQ69:CW70"/>
    <mergeCell ref="CQ77:CW78"/>
    <mergeCell ref="CQ73:CW74"/>
    <mergeCell ref="CQ113:CW114"/>
    <mergeCell ref="CQ109:CW110"/>
    <mergeCell ref="CQ111:CW112"/>
    <mergeCell ref="CQ79:CW80"/>
    <mergeCell ref="CQ81:CW82"/>
    <mergeCell ref="CQ87:CW88"/>
    <mergeCell ref="CQ95:CW96"/>
    <mergeCell ref="CQ105:CW106"/>
    <mergeCell ref="CQ107:CW108"/>
    <mergeCell ref="CR210:CS210"/>
    <mergeCell ref="CT209:CU209"/>
    <mergeCell ref="CT210:CU210"/>
    <mergeCell ref="CT214:CU214"/>
    <mergeCell ref="CQ115:CW116"/>
    <mergeCell ref="CQ97:CW98"/>
    <mergeCell ref="CQ99:CW100"/>
    <mergeCell ref="CQ101:CW102"/>
    <mergeCell ref="CQ103:CW104"/>
    <mergeCell ref="CQ117:CW118"/>
    <mergeCell ref="CT226:CU226"/>
    <mergeCell ref="CV226:CW226"/>
    <mergeCell ref="CT225:CU225"/>
    <mergeCell ref="CR225:CS225"/>
    <mergeCell ref="CP198:CQ198"/>
    <mergeCell ref="CP201:CQ201"/>
    <mergeCell ref="CP214:CQ214"/>
    <mergeCell ref="CT213:CU213"/>
    <mergeCell ref="CT211:CU211"/>
    <mergeCell ref="CR209:CS209"/>
    <mergeCell ref="CR229:CS229"/>
    <mergeCell ref="CX203:CY203"/>
    <mergeCell ref="CX204:CY204"/>
    <mergeCell ref="CX205:CY205"/>
    <mergeCell ref="CX216:CY216"/>
    <mergeCell ref="CX217:CY217"/>
    <mergeCell ref="CR224:CS224"/>
    <mergeCell ref="CT224:CU224"/>
    <mergeCell ref="CV224:CW224"/>
    <mergeCell ref="CR223:CS223"/>
    <mergeCell ref="CX214:CY214"/>
    <mergeCell ref="CX212:CY212"/>
    <mergeCell ref="CX213:CY213"/>
    <mergeCell ref="CX206:CY206"/>
    <mergeCell ref="CX219:CY219"/>
    <mergeCell ref="CT230:CU230"/>
    <mergeCell ref="CV230:CW230"/>
    <mergeCell ref="CT229:CU229"/>
    <mergeCell ref="CV228:CW228"/>
    <mergeCell ref="CT223:CU223"/>
    <mergeCell ref="CX248:CY249"/>
    <mergeCell ref="CX246:CY247"/>
    <mergeCell ref="CX227:CY227"/>
    <mergeCell ref="CX228:CY228"/>
    <mergeCell ref="CX234:CY234"/>
    <mergeCell ref="CX235:CY235"/>
    <mergeCell ref="CX229:CY229"/>
    <mergeCell ref="CX231:CY231"/>
    <mergeCell ref="CX238:CY238"/>
    <mergeCell ref="CX232:CY232"/>
    <mergeCell ref="CX230:CY230"/>
    <mergeCell ref="CX237:CY237"/>
    <mergeCell ref="CX236:CY236"/>
    <mergeCell ref="CX233:CY233"/>
    <mergeCell ref="CX220:CY220"/>
    <mergeCell ref="CX224:CY224"/>
    <mergeCell ref="CX223:CY223"/>
    <mergeCell ref="CX221:CY221"/>
    <mergeCell ref="CX222:CY222"/>
    <mergeCell ref="CX225:CY225"/>
    <mergeCell ref="CX193:CY193"/>
    <mergeCell ref="CX194:CY194"/>
    <mergeCell ref="CX196:CY196"/>
    <mergeCell ref="CX226:CY226"/>
    <mergeCell ref="CX207:CY207"/>
    <mergeCell ref="CX208:CY208"/>
    <mergeCell ref="CX209:CY209"/>
    <mergeCell ref="CX210:CY210"/>
    <mergeCell ref="CX211:CY211"/>
    <mergeCell ref="CX218:CY218"/>
    <mergeCell ref="CX202:CY202"/>
    <mergeCell ref="CX198:CY198"/>
    <mergeCell ref="CX199:CY199"/>
    <mergeCell ref="CX200:CY200"/>
    <mergeCell ref="CX201:CY201"/>
    <mergeCell ref="CV193:CW193"/>
    <mergeCell ref="CV196:CW196"/>
    <mergeCell ref="CV195:CW195"/>
    <mergeCell ref="CV194:CW194"/>
    <mergeCell ref="CX195:CY195"/>
    <mergeCell ref="CM119:CO120"/>
    <mergeCell ref="CM125:CO126"/>
    <mergeCell ref="CQ119:CW120"/>
    <mergeCell ref="CQ121:CW122"/>
    <mergeCell ref="CQ123:CW124"/>
    <mergeCell ref="CP125:CP126"/>
    <mergeCell ref="CM123:CO124"/>
    <mergeCell ref="CP123:CP124"/>
    <mergeCell ref="CP121:CP122"/>
    <mergeCell ref="CP119:CP120"/>
    <mergeCell ref="CL125:CL126"/>
    <mergeCell ref="CM129:CO130"/>
    <mergeCell ref="CQ125:CW126"/>
    <mergeCell ref="CQ127:CW128"/>
    <mergeCell ref="CQ129:CW130"/>
    <mergeCell ref="CM121:CO122"/>
    <mergeCell ref="CL127:CL128"/>
    <mergeCell ref="CM127:CO128"/>
    <mergeCell ref="CP127:CP128"/>
    <mergeCell ref="CL129:CL130"/>
    <mergeCell ref="CP129:CP130"/>
    <mergeCell ref="AO12:AR12"/>
    <mergeCell ref="AD235:AF235"/>
    <mergeCell ref="AG235:AN235"/>
    <mergeCell ref="AO236:BB236"/>
    <mergeCell ref="AG236:AN236"/>
    <mergeCell ref="AC13:AM15"/>
    <mergeCell ref="AQ28:AZ30"/>
    <mergeCell ref="CP197:CQ197"/>
    <mergeCell ref="CP217:CQ217"/>
    <mergeCell ref="DH33:DH34"/>
    <mergeCell ref="DH35:DH36"/>
    <mergeCell ref="DH37:DH38"/>
    <mergeCell ref="DH31:DH32"/>
    <mergeCell ref="CI35:CK36"/>
    <mergeCell ref="CD35:CG36"/>
    <mergeCell ref="CH35:CH36"/>
    <mergeCell ref="CL37:CL38"/>
    <mergeCell ref="CQ35:CW36"/>
    <mergeCell ref="CQ37:CW38"/>
    <mergeCell ref="DH79:DH80"/>
    <mergeCell ref="DH81:DH82"/>
    <mergeCell ref="DH97:DH98"/>
    <mergeCell ref="DH99:DH100"/>
    <mergeCell ref="DH39:DH40"/>
    <mergeCell ref="DH41:DH42"/>
    <mergeCell ref="DH43:DH44"/>
    <mergeCell ref="DH45:DH46"/>
    <mergeCell ref="DH47:DH48"/>
    <mergeCell ref="DH49:DH50"/>
    <mergeCell ref="DH59:DH60"/>
    <mergeCell ref="DH61:DH62"/>
    <mergeCell ref="DH69:DH70"/>
    <mergeCell ref="DH63:DH64"/>
    <mergeCell ref="DH65:DH66"/>
    <mergeCell ref="DH135:DH136"/>
    <mergeCell ref="DH71:DH72"/>
    <mergeCell ref="DH73:DH74"/>
    <mergeCell ref="DH113:DH114"/>
    <mergeCell ref="DH91:DH92"/>
    <mergeCell ref="DH85:DH86"/>
    <mergeCell ref="DH87:DH88"/>
    <mergeCell ref="DH89:DH90"/>
    <mergeCell ref="DH95:DH96"/>
    <mergeCell ref="DH93:DH94"/>
    <mergeCell ref="DH51:DH52"/>
    <mergeCell ref="DH55:DH56"/>
    <mergeCell ref="DH75:DH76"/>
    <mergeCell ref="DH77:DH78"/>
    <mergeCell ref="DH57:DH58"/>
    <mergeCell ref="DH53:DH54"/>
    <mergeCell ref="DH129:DH130"/>
    <mergeCell ref="DH131:DH132"/>
    <mergeCell ref="DH119:DH120"/>
    <mergeCell ref="DH121:DH122"/>
    <mergeCell ref="DH123:DH124"/>
    <mergeCell ref="DH125:DH126"/>
    <mergeCell ref="DH127:DH128"/>
    <mergeCell ref="DH67:DH68"/>
    <mergeCell ref="DH83:DH84"/>
    <mergeCell ref="DH103:DH104"/>
    <mergeCell ref="DH105:DH106"/>
    <mergeCell ref="DH107:DH108"/>
    <mergeCell ref="DH109:DH110"/>
    <mergeCell ref="DH115:DH116"/>
    <mergeCell ref="DH101:DH102"/>
    <mergeCell ref="CV222:CW222"/>
    <mergeCell ref="CT222:CU222"/>
    <mergeCell ref="CR222:CS222"/>
    <mergeCell ref="DH147:DH148"/>
    <mergeCell ref="DH141:DH142"/>
    <mergeCell ref="DH111:DH112"/>
    <mergeCell ref="DH117:DH118"/>
    <mergeCell ref="DH133:DH134"/>
    <mergeCell ref="DH137:DH138"/>
    <mergeCell ref="CX215:CY215"/>
    <mergeCell ref="CR221:CS221"/>
    <mergeCell ref="CT221:CU221"/>
    <mergeCell ref="CV221:CW221"/>
    <mergeCell ref="DH143:DH144"/>
    <mergeCell ref="DH139:DH140"/>
    <mergeCell ref="CX189:CY189"/>
    <mergeCell ref="CX190:CY190"/>
    <mergeCell ref="CX191:CY191"/>
    <mergeCell ref="CX192:CY192"/>
    <mergeCell ref="CX197:CY197"/>
    <mergeCell ref="BN205:CO205"/>
    <mergeCell ref="BN206:CO206"/>
    <mergeCell ref="BN207:CO207"/>
    <mergeCell ref="BN208:CO208"/>
    <mergeCell ref="CP212:CQ212"/>
    <mergeCell ref="CP213:CQ213"/>
    <mergeCell ref="BN211:CO211"/>
    <mergeCell ref="BN209:CO209"/>
    <mergeCell ref="BN210:CO210"/>
    <mergeCell ref="CP209:CQ209"/>
    <mergeCell ref="CP203:CQ203"/>
    <mergeCell ref="CP204:CQ204"/>
    <mergeCell ref="CP205:CQ205"/>
    <mergeCell ref="CP206:CQ206"/>
    <mergeCell ref="CP207:CQ207"/>
    <mergeCell ref="CP208:CQ208"/>
    <mergeCell ref="CP225:CQ225"/>
    <mergeCell ref="CP230:CQ230"/>
    <mergeCell ref="CP227:CQ227"/>
    <mergeCell ref="CP228:CQ228"/>
    <mergeCell ref="CP229:CQ229"/>
    <mergeCell ref="CP226:CQ226"/>
    <mergeCell ref="CP220:CQ220"/>
    <mergeCell ref="CP215:CQ215"/>
    <mergeCell ref="CP222:CQ222"/>
    <mergeCell ref="CP223:CQ223"/>
    <mergeCell ref="CP224:CQ224"/>
    <mergeCell ref="CP221:CQ221"/>
    <mergeCell ref="CP210:CQ210"/>
    <mergeCell ref="CP211:CQ211"/>
    <mergeCell ref="CP218:CQ218"/>
    <mergeCell ref="CP219:CQ219"/>
    <mergeCell ref="BN219:CO219"/>
    <mergeCell ref="BN220:CO220"/>
    <mergeCell ref="BN215:CO215"/>
    <mergeCell ref="BN216:CO216"/>
    <mergeCell ref="BN213:CO213"/>
    <mergeCell ref="BN218:CO218"/>
    <mergeCell ref="BN221:CO221"/>
    <mergeCell ref="BN196:CO196"/>
    <mergeCell ref="BN200:CO200"/>
    <mergeCell ref="BN201:CO201"/>
    <mergeCell ref="BN197:CO197"/>
    <mergeCell ref="BN198:CO198"/>
    <mergeCell ref="BN199:CO199"/>
    <mergeCell ref="BN204:CO204"/>
    <mergeCell ref="BN212:CO212"/>
    <mergeCell ref="BN214:CO214"/>
    <mergeCell ref="BN222:CO222"/>
    <mergeCell ref="BN225:CO225"/>
    <mergeCell ref="BN223:CO223"/>
    <mergeCell ref="BN236:CO236"/>
    <mergeCell ref="BN237:CO237"/>
    <mergeCell ref="BN228:CO228"/>
    <mergeCell ref="BN229:CO229"/>
    <mergeCell ref="BN230:CO230"/>
    <mergeCell ref="BN224:CO224"/>
    <mergeCell ref="A46:K48"/>
    <mergeCell ref="A21:F23"/>
    <mergeCell ref="A198:P198"/>
    <mergeCell ref="R198:AH198"/>
    <mergeCell ref="A56:K58"/>
    <mergeCell ref="A42:K44"/>
    <mergeCell ref="D104:Q104"/>
    <mergeCell ref="AG36:AJ37"/>
    <mergeCell ref="M38:P40"/>
    <mergeCell ref="R46:U48"/>
    <mergeCell ref="BN217:CO217"/>
    <mergeCell ref="BN226:CO226"/>
    <mergeCell ref="BN235:CO235"/>
    <mergeCell ref="A13:F15"/>
    <mergeCell ref="A17:F19"/>
    <mergeCell ref="A25:F27"/>
    <mergeCell ref="A29:F31"/>
    <mergeCell ref="A33:F35"/>
    <mergeCell ref="A38:K40"/>
    <mergeCell ref="BN227:CO227"/>
  </mergeCells>
  <conditionalFormatting sqref="I176:L176 I185:L185">
    <cfRule type="expression" priority="72" dxfId="80" stopIfTrue="1">
      <formula>$A$4=""</formula>
    </cfRule>
  </conditionalFormatting>
  <conditionalFormatting sqref="AA179 BO183:BR184 BJ183:BM184 AP183:AS184 AF181 BJ181 AK181 AJ181:AJ182 AB176:AD176 BI181:BI184 BE183:BH184 BE181 BD181:BD184 AZ183:BC184 AZ181 AY181:AY184 AU183:AX184 AU181 AT181:AT184 AO181:AO184 AP181 BS181:BW184 BN181:BN184 BO181 AE176:BW178 AA163:BW169 AE181:AE182 AA181 AA176:AA177 AA172:BW175">
    <cfRule type="cellIs" priority="73" dxfId="80" operator="equal" stopIfTrue="1">
      <formula>#VALUE!</formula>
    </cfRule>
  </conditionalFormatting>
  <conditionalFormatting sqref="AA161:BW162 AA170:BW171 AF179 BJ179 AK179 AP179 BI179:BI180 BE179 BO179 AO179:AO180 AJ179:AJ180 AU179 BS179:BW180 BN179:BN180 BD179:BD180 AZ179 AY179:AY180 AT179:AT180 AE179:AE180">
    <cfRule type="cellIs" priority="74" dxfId="81" operator="between" stopIfTrue="1">
      <formula>0</formula>
      <formula>50</formula>
    </cfRule>
  </conditionalFormatting>
  <conditionalFormatting sqref="AB60:AE62 P66:S74 K66:N74 M60:P62 Z63:AC63 Z66:AC74">
    <cfRule type="expression" priority="75" dxfId="80" stopIfTrue="1">
      <formula>$AU$65=""</formula>
    </cfRule>
  </conditionalFormatting>
  <conditionalFormatting sqref="M38:P40 M42:P44 M46:P48">
    <cfRule type="expression" priority="76" dxfId="80" stopIfTrue="1">
      <formula>ISERROR(M38)</formula>
    </cfRule>
  </conditionalFormatting>
  <conditionalFormatting sqref="AO13:AR15">
    <cfRule type="expression" priority="77" dxfId="80" stopIfTrue="1">
      <formula>$H$17=""</formula>
    </cfRule>
  </conditionalFormatting>
  <conditionalFormatting sqref="M52:Z54">
    <cfRule type="expression" priority="78" dxfId="80" stopIfTrue="1">
      <formula>ISERROR($M$52)</formula>
    </cfRule>
  </conditionalFormatting>
  <conditionalFormatting sqref="M56:Z58">
    <cfRule type="expression" priority="79" dxfId="80" stopIfTrue="1">
      <formula>ISERROR($M$56)</formula>
    </cfRule>
  </conditionalFormatting>
  <conditionalFormatting sqref="CI31 CM31 CL31:CL32 CQ31 CP31:CP32 BZ31 BG31:BY32 CH31:CH32 CD31 CC31:CC33 CC35 CC37 CC39 CC41 CC43 CC45 CC47 CC49 CC51 CC53 CC55 CC57 CC59 CC61 CC63 CC65 CC67 CC69 CC71 CC73 CC75 CC77 CC79 CC81 CC83 CC85 CC87 CC89 CC91 CC93 CC95 CC97 CC99 CC101 CC103 CC131 CC129 CC127 CC125 CC123 CC121 CC119 CC117 CC115 CC113 CC111 CC109 CC107 CC105">
    <cfRule type="expression" priority="80" dxfId="82" stopIfTrue="1">
      <formula>IF($DF$31="No",$CM$31=0,FALSE)</formula>
    </cfRule>
  </conditionalFormatting>
  <conditionalFormatting sqref="CQ33 CL33:CP34 CI33 BG33:CH34">
    <cfRule type="expression" priority="81" dxfId="82" stopIfTrue="1">
      <formula>IF($DF$33="No",$CM$33=0,FALSE)</formula>
    </cfRule>
  </conditionalFormatting>
  <conditionalFormatting sqref="CL35:CW36 CI35 BG35:CH36">
    <cfRule type="expression" priority="82" dxfId="82" stopIfTrue="1">
      <formula>IF($DF$35="No",$CM$35=0,FALSE)</formula>
    </cfRule>
  </conditionalFormatting>
  <conditionalFormatting sqref="CL37:CW38 BG37:CH38 CI37">
    <cfRule type="expression" priority="83" dxfId="82" stopIfTrue="1">
      <formula>IF($DF$37="No",$CM$37=0,FALSE)</formula>
    </cfRule>
  </conditionalFormatting>
  <conditionalFormatting sqref="CL39:CW40 BG39:CH40 CI39">
    <cfRule type="expression" priority="84" dxfId="82" stopIfTrue="1">
      <formula>IF($DF$39="No",$CM$39=0,FALSE)</formula>
    </cfRule>
  </conditionalFormatting>
  <conditionalFormatting sqref="CL41:CW42 BG41:CH42 CI41">
    <cfRule type="expression" priority="85" dxfId="82" stopIfTrue="1">
      <formula>IF($DF$41="No",$CM$41=0,FALSE)</formula>
    </cfRule>
  </conditionalFormatting>
  <conditionalFormatting sqref="CL43:CW44 BG43:CH44 CI43">
    <cfRule type="expression" priority="86" dxfId="82" stopIfTrue="1">
      <formula>IF($DF$43="No",$CM$43=0,FALSE)</formula>
    </cfRule>
  </conditionalFormatting>
  <conditionalFormatting sqref="CL45:CW46 BG45:CH46 CI45">
    <cfRule type="expression" priority="87" dxfId="82" stopIfTrue="1">
      <formula>IF($DF$45="No",$CM$45=0,FALSE)</formula>
    </cfRule>
  </conditionalFormatting>
  <conditionalFormatting sqref="CL47:CW48 BG47:CH48 CI47">
    <cfRule type="expression" priority="88" dxfId="82" stopIfTrue="1">
      <formula>IF($DF$47="No",$CM$47=0,FALSE)</formula>
    </cfRule>
  </conditionalFormatting>
  <conditionalFormatting sqref="CL49:CW50 BG49:CH50 CI49">
    <cfRule type="expression" priority="89" dxfId="82" stopIfTrue="1">
      <formula>IF($DF$49="No",$CM$49=0,FALSE)</formula>
    </cfRule>
  </conditionalFormatting>
  <conditionalFormatting sqref="CL51:CW52 BG51:CH52 CI51">
    <cfRule type="expression" priority="90" dxfId="82" stopIfTrue="1">
      <formula>IF($DF$51="No",$CM$51=0,FALSE)</formula>
    </cfRule>
  </conditionalFormatting>
  <conditionalFormatting sqref="CL53:CW54 BG53:CH54 CI53">
    <cfRule type="expression" priority="91" dxfId="82" stopIfTrue="1">
      <formula>IF($DF$53="No",$CM$53=0,FALSE)</formula>
    </cfRule>
  </conditionalFormatting>
  <conditionalFormatting sqref="BG55:CW56">
    <cfRule type="expression" priority="92" dxfId="82" stopIfTrue="1">
      <formula>IF($DF$55="No",$CM$55=0,FALSE)</formula>
    </cfRule>
  </conditionalFormatting>
  <conditionalFormatting sqref="BG57:CW58">
    <cfRule type="expression" priority="93" dxfId="82" stopIfTrue="1">
      <formula>IF($DF$57="No",$CM$57=0,FALSE)</formula>
    </cfRule>
  </conditionalFormatting>
  <conditionalFormatting sqref="BG59:CW60">
    <cfRule type="expression" priority="94" dxfId="82" stopIfTrue="1">
      <formula>IF($DF$59="No",$CM$59=0,FALSE)</formula>
    </cfRule>
  </conditionalFormatting>
  <conditionalFormatting sqref="BG61:CW62">
    <cfRule type="expression" priority="95" dxfId="82" stopIfTrue="1">
      <formula>IF($DF$61="No",$CM$61=0,FALSE)</formula>
    </cfRule>
  </conditionalFormatting>
  <conditionalFormatting sqref="BG63:CW64">
    <cfRule type="expression" priority="96" dxfId="82" stopIfTrue="1">
      <formula>IF($DF$63="No",$CM$63=0,FALSE)</formula>
    </cfRule>
  </conditionalFormatting>
  <conditionalFormatting sqref="BG65:CW66">
    <cfRule type="expression" priority="97" dxfId="82" stopIfTrue="1">
      <formula>IF($DF$65="No",$CM$65=0,FALSE)</formula>
    </cfRule>
  </conditionalFormatting>
  <conditionalFormatting sqref="BG67:CW68">
    <cfRule type="expression" priority="98" dxfId="82" stopIfTrue="1">
      <formula>IF($DF$67="No",$CM$67=0,FALSE)</formula>
    </cfRule>
  </conditionalFormatting>
  <conditionalFormatting sqref="BG69:CW70">
    <cfRule type="expression" priority="99" dxfId="82" stopIfTrue="1">
      <formula>IF($DF$69="No",$CM$69=0,FALSE)</formula>
    </cfRule>
  </conditionalFormatting>
  <conditionalFormatting sqref="BG73:CW74">
    <cfRule type="expression" priority="100" dxfId="82" stopIfTrue="1">
      <formula>IF($DF$73="No",$CM$73=0,FALSE)</formula>
    </cfRule>
  </conditionalFormatting>
  <conditionalFormatting sqref="BG71:CW72">
    <cfRule type="expression" priority="101" dxfId="82" stopIfTrue="1">
      <formula>IF($DF$71="No",$CM$71=0,FALSE)</formula>
    </cfRule>
  </conditionalFormatting>
  <conditionalFormatting sqref="BG75:CW76">
    <cfRule type="expression" priority="102" dxfId="82" stopIfTrue="1">
      <formula>IF($DF$75="No",$CM$75=0,FALSE)</formula>
    </cfRule>
  </conditionalFormatting>
  <conditionalFormatting sqref="BG77:CW78">
    <cfRule type="expression" priority="103" dxfId="82" stopIfTrue="1">
      <formula>IF($DF$77="No",$CM$77=0,FALSE)</formula>
    </cfRule>
  </conditionalFormatting>
  <conditionalFormatting sqref="BG79:CW80">
    <cfRule type="expression" priority="104" dxfId="82" stopIfTrue="1">
      <formula>IF($DF$79="No",$CM$79=0,FALSE)</formula>
    </cfRule>
  </conditionalFormatting>
  <conditionalFormatting sqref="BG81:CW82">
    <cfRule type="expression" priority="105" dxfId="82" stopIfTrue="1">
      <formula>IF($DF$81="No",$CM$81=0,FALSE)</formula>
    </cfRule>
  </conditionalFormatting>
  <conditionalFormatting sqref="BG83:CW84">
    <cfRule type="expression" priority="106" dxfId="82" stopIfTrue="1">
      <formula>IF($DF$83="No",$CM$83=0,FALSE)</formula>
    </cfRule>
  </conditionalFormatting>
  <conditionalFormatting sqref="BG85:CW86">
    <cfRule type="expression" priority="107" dxfId="82" stopIfTrue="1">
      <formula>IF($DF$85="No",$CM$85=0,FALSE)</formula>
    </cfRule>
  </conditionalFormatting>
  <conditionalFormatting sqref="BG87:CW88">
    <cfRule type="expression" priority="108" dxfId="82" stopIfTrue="1">
      <formula>IF($DF$87="No",$CM$87=0,FALSE)</formula>
    </cfRule>
  </conditionalFormatting>
  <conditionalFormatting sqref="BG89:CW90">
    <cfRule type="expression" priority="109" dxfId="82" stopIfTrue="1">
      <formula>IF($DF$89="No",$CM$89=0,FALSE)</formula>
    </cfRule>
  </conditionalFormatting>
  <conditionalFormatting sqref="BG91:CW92">
    <cfRule type="expression" priority="110" dxfId="82" stopIfTrue="1">
      <formula>IF($DF$91="No",$CM$91=0,FALSE)</formula>
    </cfRule>
  </conditionalFormatting>
  <conditionalFormatting sqref="BG93:CW94">
    <cfRule type="expression" priority="111" dxfId="82" stopIfTrue="1">
      <formula>IF($DF$93="No",$CM$93=0,FALSE)</formula>
    </cfRule>
  </conditionalFormatting>
  <conditionalFormatting sqref="BG95:CW96">
    <cfRule type="expression" priority="112" dxfId="82" stopIfTrue="1">
      <formula>IF($DF$95="No",$CM$95=0,FALSE)</formula>
    </cfRule>
  </conditionalFormatting>
  <conditionalFormatting sqref="BG97:CW98">
    <cfRule type="expression" priority="113" dxfId="82" stopIfTrue="1">
      <formula>IF($DF$97="No",$CM$97=0,FALSE)</formula>
    </cfRule>
  </conditionalFormatting>
  <conditionalFormatting sqref="BG99:CW100">
    <cfRule type="expression" priority="114" dxfId="82" stopIfTrue="1">
      <formula>IF($DF$99="No",$CM$99=0,FALSE)</formula>
    </cfRule>
  </conditionalFormatting>
  <conditionalFormatting sqref="BG101:CW102">
    <cfRule type="expression" priority="115" dxfId="82" stopIfTrue="1">
      <formula>IF($DF$101="No",$CM$101=0,FALSE)</formula>
    </cfRule>
  </conditionalFormatting>
  <conditionalFormatting sqref="BG103:CW104">
    <cfRule type="expression" priority="116" dxfId="82" stopIfTrue="1">
      <formula>IF($DF$103="No",$CM$103=0,FALSE)</formula>
    </cfRule>
  </conditionalFormatting>
  <conditionalFormatting sqref="BG105:CW106">
    <cfRule type="expression" priority="117" dxfId="82" stopIfTrue="1">
      <formula>IF($DF$105="No",$CM$105=0,FALSE)</formula>
    </cfRule>
  </conditionalFormatting>
  <conditionalFormatting sqref="BG107:CW108">
    <cfRule type="expression" priority="118" dxfId="82" stopIfTrue="1">
      <formula>IF($DF$107="No",$CM$107=0,FALSE)</formula>
    </cfRule>
  </conditionalFormatting>
  <conditionalFormatting sqref="BG109:CW110">
    <cfRule type="expression" priority="119" dxfId="82" stopIfTrue="1">
      <formula>IF($DF$109="No",$CM$109=0,FALSE)</formula>
    </cfRule>
  </conditionalFormatting>
  <conditionalFormatting sqref="BG111:CW112">
    <cfRule type="expression" priority="120" dxfId="82" stopIfTrue="1">
      <formula>IF($DF$111="No",$CM$111=0,FALSE)</formula>
    </cfRule>
  </conditionalFormatting>
  <conditionalFormatting sqref="BG113:CW114">
    <cfRule type="expression" priority="121" dxfId="82" stopIfTrue="1">
      <formula>IF($DF$113="No",$CM$113=0,FALSE)</formula>
    </cfRule>
  </conditionalFormatting>
  <conditionalFormatting sqref="BG115:CW116">
    <cfRule type="expression" priority="122" dxfId="82" stopIfTrue="1">
      <formula>IF($DF$115="No",$CM$115=0,FALSE)</formula>
    </cfRule>
  </conditionalFormatting>
  <conditionalFormatting sqref="BG117:CW118">
    <cfRule type="expression" priority="123" dxfId="82" stopIfTrue="1">
      <formula>IF($DF$117="No",$CM$117=0,FALSE)</formula>
    </cfRule>
  </conditionalFormatting>
  <conditionalFormatting sqref="BG119:CW120">
    <cfRule type="expression" priority="124" dxfId="82" stopIfTrue="1">
      <formula>IF($DF$119="No",$CM$119=0,FALSE)</formula>
    </cfRule>
  </conditionalFormatting>
  <conditionalFormatting sqref="BG121:CW122">
    <cfRule type="expression" priority="125" dxfId="82" stopIfTrue="1">
      <formula>IF($DF$121="No",$CM$121=0,FALSE)</formula>
    </cfRule>
  </conditionalFormatting>
  <conditionalFormatting sqref="BG123:CW124">
    <cfRule type="expression" priority="126" dxfId="82" stopIfTrue="1">
      <formula>IF($DF$123="No",$CM$123=0,FALSE)</formula>
    </cfRule>
  </conditionalFormatting>
  <conditionalFormatting sqref="BG125:CW126">
    <cfRule type="expression" priority="127" dxfId="82" stopIfTrue="1">
      <formula>IF($DF$125="No",$CM$125=0,FALSE)</formula>
    </cfRule>
  </conditionalFormatting>
  <conditionalFormatting sqref="BG127:CW128">
    <cfRule type="expression" priority="128" dxfId="82" stopIfTrue="1">
      <formula>IF($DF$127="No",$CM$127=0,FALSE)</formula>
    </cfRule>
  </conditionalFormatting>
  <conditionalFormatting sqref="BG129:CW130">
    <cfRule type="expression" priority="129" dxfId="82" stopIfTrue="1">
      <formula>IF($DF$129="No",$CM$129=0,FALSE)</formula>
    </cfRule>
  </conditionalFormatting>
  <conditionalFormatting sqref="BG131:CW132">
    <cfRule type="expression" priority="130" dxfId="82" stopIfTrue="1">
      <formula>IF($DF$131="No",$CM$131=0,FALSE)</formula>
    </cfRule>
  </conditionalFormatting>
  <conditionalFormatting sqref="BG139:CW140 CC131">
    <cfRule type="expression" priority="134" dxfId="82" stopIfTrue="1">
      <formula>IF($DF$139="No",$CM$139=0,FALSE)</formula>
    </cfRule>
  </conditionalFormatting>
  <conditionalFormatting sqref="BZ147:CW148">
    <cfRule type="expression" priority="135" dxfId="82" stopIfTrue="1">
      <formula>IF($DF$143="No",#REF!=0,FALSE)</formula>
    </cfRule>
  </conditionalFormatting>
  <conditionalFormatting sqref="BG147:BY148">
    <cfRule type="expression" priority="136" dxfId="82" stopIfTrue="1">
      <formula>IF($DF$147="No",$CM$147=0,FALSE)</formula>
    </cfRule>
  </conditionalFormatting>
  <conditionalFormatting sqref="BF249:BK250 AR242:AW243 BF241:BK242 AR248:AW249 AY242:BD243 AY248:BD249 AY245:BD246 BF245:BK246 AR245">
    <cfRule type="expression" priority="6" dxfId="80" stopIfTrue="1">
      <formula>ISERROR($AR$250)</formula>
    </cfRule>
  </conditionalFormatting>
  <conditionalFormatting sqref="AO216:AO236 E180:AH189">
    <cfRule type="cellIs" priority="5" dxfId="80" operator="equal" stopIfTrue="1">
      <formula>0</formula>
    </cfRule>
  </conditionalFormatting>
  <conditionalFormatting sqref="A215:A221 A223:A237">
    <cfRule type="expression" priority="4" dxfId="83" stopIfTrue="1">
      <formula>#REF!</formula>
    </cfRule>
  </conditionalFormatting>
  <conditionalFormatting sqref="BC216:BK236">
    <cfRule type="cellIs" priority="3" dxfId="80" operator="equal" stopIfTrue="1">
      <formula>"-"</formula>
    </cfRule>
  </conditionalFormatting>
  <conditionalFormatting sqref="CM33 CM35 CM37 CM39 CM41 CM43 CM45 CM47 CM49 CM51 CM53 CM55 CM57 CM59 CM61 CM63 CM65 CM67 CM69 CM71 CM73 CM75 CM77 CM79 CM81 CM83 CM85 CM87 CM89 CM91 CM93 CM95 CM97 CM99 CM101 CM103 CM105 CM107 CM109 CM111 CM113 CM115 CM117 CM119 CM121 CM123 CM125 CM127 CM129">
    <cfRule type="expression" priority="2" dxfId="82" stopIfTrue="1">
      <formula>IF($DF$31="No",$CM$31=0,FALSE)</formula>
    </cfRule>
  </conditionalFormatting>
  <conditionalFormatting sqref="E190:AH190">
    <cfRule type="cellIs" priority="1" dxfId="80" operator="equal" stopIfTrue="1">
      <formula>0</formula>
    </cfRule>
  </conditionalFormatting>
  <dataValidations count="9">
    <dataValidation allowBlank="1" showInputMessage="1" showErrorMessage="1" imeMode="hiragana" sqref="J155 I159:T160 AM152:AS152 AQ1:BK2 A7:S8 AJ1:AO2 A1:AA2 AQ37:BE48 A4:AH5 A78:Q80 A88:Q90 A98:Q100 A118:Q119 A126:Q127 A134:Q135 A142:Q143 I168:T169 T148:U148 A108:Q110 T150 AM150 A152 T152 T149:Y149 AM148:AR148 AV4:BK5 I177:T177 Z248:AA249"/>
    <dataValidation type="whole" operator="greaterThanOrEqual" allowBlank="1" showInputMessage="1" showErrorMessage="1" imeMode="disabled" sqref="CN9:CQ11 R38:U40 R46:U48 CI9:CL11 AC7:AH8 AU65 R42:U44 CG21:CG23">
      <formula1>0</formula1>
    </dataValidation>
    <dataValidation allowBlank="1" showInputMessage="1" showErrorMessage="1" imeMode="disabled" sqref="AU78 R108 AU108 AU72 AK78 AK88 R88 AU88 AK98 R98 AU98 R78 AK108 Y241 AR245 AF245 AR248:AW249 AR242:AW243 O241:W244 C241:L244"/>
    <dataValidation type="decimal" operator="greaterThanOrEqual" allowBlank="1" showInputMessage="1" showErrorMessage="1" imeMode="disabled" sqref="CM147:CO148 CM139:CO140 CM131:CO132">
      <formula1>0</formula1>
    </dataValidation>
    <dataValidation type="list" allowBlank="1" showInputMessage="1" showErrorMessage="1" sqref="T7">
      <formula1>$P$6:$X$6</formula1>
    </dataValidation>
    <dataValidation type="whole" allowBlank="1" showInputMessage="1" showErrorMessage="1" imeMode="disabled" sqref="R25:U27 R21:U23 R17:U19 R13:U15 AV52:AY54 AV56:AY58 R33:U35 R29:U31">
      <formula1>-999</formula1>
      <formula2>999</formula2>
    </dataValidation>
    <dataValidation type="whole" operator="greaterThanOrEqual" allowBlank="1" showInputMessage="1" showErrorMessage="1" imeMode="disabled" sqref="H33:K35 H29:K31 H25:K27 H21:K23 H17:K19 H13:K15">
      <formula1>1</formula1>
    </dataValidation>
    <dataValidation allowBlank="1" showInputMessage="1" showErrorMessage="1" imeMode="off" sqref="CH21"/>
    <dataValidation operator="greaterThanOrEqual" allowBlank="1" showInputMessage="1" showErrorMessage="1" imeMode="disabled" sqref="CM31:CO130"/>
  </dataValidations>
  <printOptions/>
  <pageMargins left="0.23" right="0.11811023622047245" top="0.15748031496062992" bottom="0.11811023622047245" header="0" footer="0"/>
  <pageSetup fitToHeight="0" horizontalDpi="600" verticalDpi="600" orientation="portrait" paperSize="9" scale="52" r:id="rId3"/>
  <rowBreaks count="1" manualBreakCount="1">
    <brk id="157" max="100" man="1"/>
  </rowBreaks>
  <legacyDrawing r:id="rId2"/>
  <oleObjects>
    <oleObject progId="PictPub.Image.9" shapeId="779937" r:id="rId1"/>
  </oleObjects>
</worksheet>
</file>

<file path=xl/worksheets/sheet9.xml><?xml version="1.0" encoding="utf-8"?>
<worksheet xmlns="http://schemas.openxmlformats.org/spreadsheetml/2006/main" xmlns:r="http://schemas.openxmlformats.org/officeDocument/2006/relationships">
  <dimension ref="A1:N106"/>
  <sheetViews>
    <sheetView zoomScalePageLayoutView="0" workbookViewId="0" topLeftCell="A1">
      <pane xSplit="1" topLeftCell="B1" activePane="topRight" state="frozen"/>
      <selection pane="topLeft" activeCell="A1" sqref="A1"/>
      <selection pane="topRight" activeCell="A1" sqref="A1"/>
    </sheetView>
  </sheetViews>
  <sheetFormatPr defaultColWidth="9.00390625" defaultRowHeight="13.5" outlineLevelCol="3"/>
  <cols>
    <col min="1" max="1" width="19.375" style="320" customWidth="1" outlineLevel="3"/>
    <col min="2" max="2" width="24.00390625" style="320" customWidth="1" outlineLevel="3"/>
    <col min="3" max="3" width="25.75390625" style="319" customWidth="1" outlineLevel="3"/>
    <col min="4" max="4" width="4.375" style="319" customWidth="1" outlineLevel="3"/>
    <col min="5" max="5" width="26.375" style="319" customWidth="1" outlineLevel="3"/>
    <col min="6" max="6" width="26.875" style="319" customWidth="1" outlineLevel="3"/>
    <col min="7" max="10" width="9.00390625" style="319" customWidth="1" outlineLevel="3"/>
    <col min="11" max="11" width="9.625" style="319" customWidth="1" outlineLevel="3"/>
    <col min="12" max="14" width="9.00390625" style="319" customWidth="1" outlineLevel="3"/>
    <col min="15" max="17" width="9.00390625" style="319" customWidth="1"/>
    <col min="18" max="16384" width="9.00390625" style="319" customWidth="1" outlineLevel="3"/>
  </cols>
  <sheetData>
    <row r="1" spans="1:5" s="307" customFormat="1" ht="13.5">
      <c r="A1" s="306"/>
      <c r="B1" s="279" t="s">
        <v>289</v>
      </c>
      <c r="C1" s="280"/>
      <c r="D1" s="281" t="s">
        <v>290</v>
      </c>
      <c r="E1" s="282" t="s">
        <v>291</v>
      </c>
    </row>
    <row r="2" spans="1:6" s="307" customFormat="1" ht="18.75">
      <c r="A2" s="308" t="s">
        <v>139</v>
      </c>
      <c r="B2" s="1894" t="str">
        <f>CONCATENATE('能力'!H3,"(",' 印刷'!A4,")")</f>
        <v>(Barbarian(Armored Hulk)11)</v>
      </c>
      <c r="C2" s="1894"/>
      <c r="D2" s="283"/>
      <c r="E2" s="1888"/>
      <c r="F2" s="1888"/>
    </row>
    <row r="3" spans="1:6" s="307" customFormat="1" ht="13.5" customHeight="1">
      <c r="A3" s="284" t="s">
        <v>138</v>
      </c>
      <c r="B3" s="1893" t="str">
        <f>IF('能力'!H5="","",CONCATENATE(,"",'能力'!H5,"、"))&amp;CONCATENATE(INDEX('能力'!$BQ$5:$BQ$13,'能力'!$BR$5),"の",(IF('能力'!H6="","",'能力'!H6)&amp;IF('能力'!H7="","",CONCATENATE(,"（",'能力'!H7,"）"))))</f>
        <v>Mediumの</v>
      </c>
      <c r="C3" s="1893"/>
      <c r="D3" s="283"/>
      <c r="E3" s="1888"/>
      <c r="F3" s="1888"/>
    </row>
    <row r="4" spans="1:6" s="307" customFormat="1" ht="13.5">
      <c r="A4" s="284" t="s">
        <v>124</v>
      </c>
      <c r="B4" s="310" t="str">
        <f>IF(D4=TRUE,CONCATENATE(J25,J26,J27,J28,J29,J30,J31,I32,J32," (hp ",'能力'!M32,")"),E4)</f>
        <v>11d12+33 (hp 132)</v>
      </c>
      <c r="C4" s="311"/>
      <c r="D4" s="285" t="b">
        <v>1</v>
      </c>
      <c r="E4" s="1887" t="s">
        <v>125</v>
      </c>
      <c r="F4" s="1887"/>
    </row>
    <row r="5" spans="1:6" s="307" customFormat="1" ht="13.5">
      <c r="A5" s="286" t="s">
        <v>126</v>
      </c>
      <c r="B5" s="312">
        <f>'能力'!AE15</f>
        <v>0</v>
      </c>
      <c r="C5" s="313"/>
      <c r="D5" s="287"/>
      <c r="E5" s="1889"/>
      <c r="F5" s="1889"/>
    </row>
    <row r="6" spans="1:6" s="307" customFormat="1" ht="13.5">
      <c r="A6" s="286" t="s">
        <v>127</v>
      </c>
      <c r="B6" s="1895">
        <f>IF(D6=TRUE,CONCATENATE(M25,N26,M26,N27,M27,N28,M28,N29,M29),E6)</f>
      </c>
      <c r="C6" s="1895"/>
      <c r="D6" s="285" t="b">
        <v>1</v>
      </c>
      <c r="E6" s="1887"/>
      <c r="F6" s="1887"/>
    </row>
    <row r="7" spans="1:6" s="307" customFormat="1" ht="13.5">
      <c r="A7" s="286" t="s">
        <v>137</v>
      </c>
      <c r="B7" s="1895" t="str">
        <f>CONCATENATE('能力'!J62," (",I35,J36,I36,J37,I37,J38,I38,J39,I39,J40,I40,J41,I41,J42,I42,")","、接触",'能力'!J63,"、立ちすくみ",'能力'!J64)</f>
        <v>16 (鎧+6)、接触10、立ちすくみ16</v>
      </c>
      <c r="C7" s="1895"/>
      <c r="D7" s="283"/>
      <c r="E7" s="1888"/>
      <c r="F7" s="1888"/>
    </row>
    <row r="8" spans="1:6" s="307" customFormat="1" ht="13.5">
      <c r="A8" s="286" t="s">
        <v>128</v>
      </c>
      <c r="B8" s="314" t="str">
        <f>CONCATENATE("+",'能力'!O32,"／",IF('能力'!J81&gt;0,CONCATENATE("+",'能力'!J81),'能力'!J81))</f>
        <v>+11／+18</v>
      </c>
      <c r="C8" s="314"/>
      <c r="D8" s="283"/>
      <c r="E8" s="1888"/>
      <c r="F8" s="1888"/>
    </row>
    <row r="9" spans="1:6" s="307" customFormat="1" ht="27" customHeight="1">
      <c r="A9" s="286" t="s">
        <v>129</v>
      </c>
      <c r="B9" s="1893"/>
      <c r="C9" s="1896"/>
      <c r="D9" s="283"/>
      <c r="E9" s="1886"/>
      <c r="F9" s="1886"/>
    </row>
    <row r="10" spans="1:6" s="307" customFormat="1" ht="27" customHeight="1">
      <c r="A10" s="286" t="s">
        <v>130</v>
      </c>
      <c r="B10" s="1893"/>
      <c r="C10" s="1893"/>
      <c r="D10" s="283"/>
      <c r="E10" s="1886"/>
      <c r="F10" s="1886"/>
    </row>
    <row r="11" spans="1:6" s="307" customFormat="1" ht="13.5">
      <c r="A11" s="286" t="s">
        <v>131</v>
      </c>
      <c r="B11" s="309" t="str">
        <f>IF(D11=TRUE,CONCATENATE(INDEX(K35:K43,'能力'!BR5)," / ",'能力'!AE14,"フィート"),E11)</f>
        <v>5フィート / 5フィート</v>
      </c>
      <c r="C11" s="309">
        <f>F11</f>
        <v>0</v>
      </c>
      <c r="D11" s="285" t="b">
        <v>1</v>
      </c>
      <c r="E11" s="315" t="s">
        <v>132</v>
      </c>
      <c r="F11" s="316"/>
    </row>
    <row r="12" spans="1:6" s="307" customFormat="1" ht="63" customHeight="1">
      <c r="A12" s="1890" t="s">
        <v>133</v>
      </c>
      <c r="B12" s="1891">
        <f>IF(D12=TRUE,CONCATENATE(L97,L98,L81,L82,L83),E12)</f>
      </c>
      <c r="C12" s="1891"/>
      <c r="D12" s="285" t="b">
        <v>1</v>
      </c>
      <c r="E12" s="1886"/>
      <c r="F12" s="1886"/>
    </row>
    <row r="13" spans="1:6" s="307" customFormat="1" ht="27" customHeight="1">
      <c r="A13" s="1890"/>
      <c r="B13" s="1892">
        <f>E13</f>
        <v>0</v>
      </c>
      <c r="C13" s="1892"/>
      <c r="D13" s="283"/>
      <c r="E13" s="1886"/>
      <c r="F13" s="1886"/>
    </row>
    <row r="14" spans="1:6" s="307" customFormat="1" ht="74.25" customHeight="1">
      <c r="A14" s="1890" t="s">
        <v>292</v>
      </c>
      <c r="B14" s="1891" t="str">
        <f>IF(D14=TRUE,CONCATENATE(K97,K98,K99,K100),E14)</f>
        <v>Rage 27Round/day、Lesser Beast Totem、Animal fury、Beast Totem、Strength Surge、Reckless Abandon</v>
      </c>
      <c r="C14" s="1891"/>
      <c r="D14" s="285" t="b">
        <v>1</v>
      </c>
      <c r="E14" s="1886"/>
      <c r="F14" s="1886"/>
    </row>
    <row r="15" spans="1:6" s="307" customFormat="1" ht="27" customHeight="1">
      <c r="A15" s="1890"/>
      <c r="B15" s="1891">
        <f>E15</f>
        <v>0</v>
      </c>
      <c r="C15" s="1891"/>
      <c r="D15" s="283"/>
      <c r="E15" s="1886"/>
      <c r="F15" s="1886"/>
    </row>
    <row r="16" spans="1:6" s="307" customFormat="1" ht="13.5">
      <c r="A16" s="286" t="s">
        <v>140</v>
      </c>
      <c r="B16" s="1893" t="str">
        <f>IF(D16=TRUE,CONCATENATE("頑健",H45,'能力'!Q32,"、反応",I45,'能力'!S32,"、意志",J45,'能力'!U32),E16)</f>
        <v>頑健+13、反応+6、意志+6</v>
      </c>
      <c r="C16" s="1893"/>
      <c r="D16" s="285" t="b">
        <v>1</v>
      </c>
      <c r="E16" s="1887" t="s">
        <v>293</v>
      </c>
      <c r="F16" s="1887"/>
    </row>
    <row r="17" spans="1:6" s="307" customFormat="1" ht="13.5">
      <c r="A17" s="286" t="s">
        <v>134</v>
      </c>
      <c r="B17" s="1893" t="str">
        <f>IF(D17=TRUE,CONCATENATE("【筋】",'能力'!I18,"、【敏】",'能力'!I19,"、【耐】",'能力'!I20,"、【知】",'能力'!I21,"、【判】",'能力'!I22,"、【魅】",'能力'!I23),E17)</f>
        <v>【筋】24、【敏】10、【耐】16、【知】10、【判】10、【魅】10</v>
      </c>
      <c r="C17" s="1893"/>
      <c r="D17" s="285" t="b">
        <v>1</v>
      </c>
      <c r="E17" s="1887" t="s">
        <v>123</v>
      </c>
      <c r="F17" s="1887"/>
    </row>
    <row r="18" spans="1:6" s="307" customFormat="1" ht="56.25" customHeight="1">
      <c r="A18" s="286" t="s">
        <v>135</v>
      </c>
      <c r="B18" s="1893" t="str">
        <f>IF(D18=TRUE,CONCATENATE(I46,I47),E18)</f>
        <v>Acrobatics+9、Climb+16、Intimidate+14、Swim+16、Ride+9</v>
      </c>
      <c r="C18" s="1893"/>
      <c r="D18" s="288" t="b">
        <v>1</v>
      </c>
      <c r="E18" s="1886"/>
      <c r="F18" s="1886"/>
    </row>
    <row r="19" spans="1:6" s="307" customFormat="1" ht="42.75" customHeight="1">
      <c r="A19" s="286" t="s">
        <v>136</v>
      </c>
      <c r="B19" s="1893" t="str">
        <f>IF(D19=TRUE,CONCATENATE('能力'!AD38,'能力'!AD40,'能力'!AD43,'能力'!AD46,'能力'!AD49,'能力'!AD52,'能力'!AD55,'能力'!AS38,'能力'!AS39,'能力'!AS40,'能力'!AS41,'能力'!AS42,'能力'!AS43,'能力'!AS44,'能力'!AS45,'能力'!AS46,'能力'!AS47,'能力'!AS48,'能力'!AS49,'能力'!AS50,'能力'!AS51,'能力'!AS52,'能力'!AS53,'能力'!AS54,'能力'!AS55,'能力'!AS56,'能力'!AS57),E19)</f>
        <v>Weapon FocusBlind-FightImproved CriticalHeavy Armor Proficiency</v>
      </c>
      <c r="C19" s="1893"/>
      <c r="D19" s="288" t="b">
        <v>1</v>
      </c>
      <c r="E19" s="1886"/>
      <c r="F19" s="1886"/>
    </row>
    <row r="20" spans="1:6" s="307" customFormat="1" ht="13.5">
      <c r="A20" s="286" t="s">
        <v>294</v>
      </c>
      <c r="B20" s="309">
        <f>E20</f>
        <v>0</v>
      </c>
      <c r="C20" s="317"/>
      <c r="E20" s="1887"/>
      <c r="F20" s="1887"/>
    </row>
    <row r="23" spans="1:8" ht="14.25" thickBot="1">
      <c r="A23" s="318"/>
      <c r="B23" s="318"/>
      <c r="C23" s="307"/>
      <c r="D23" s="307"/>
      <c r="E23" s="307"/>
      <c r="F23" s="307"/>
      <c r="G23" s="307"/>
      <c r="H23" s="281" t="s">
        <v>295</v>
      </c>
    </row>
    <row r="24" spans="8:14" ht="13.5">
      <c r="H24" s="321" t="s">
        <v>276</v>
      </c>
      <c r="I24" s="322"/>
      <c r="J24" s="322"/>
      <c r="K24" s="322"/>
      <c r="L24" s="322" t="s">
        <v>277</v>
      </c>
      <c r="M24" s="323" t="str">
        <f>' 印刷'!AY242</f>
        <v>Light</v>
      </c>
      <c r="N24" s="324"/>
    </row>
    <row r="25" spans="8:14" ht="13.5">
      <c r="H25" s="325">
        <v>2</v>
      </c>
      <c r="I25" s="326">
        <f>COUNTIF('能力'!$I$38:$I$57,H25)</f>
        <v>0</v>
      </c>
      <c r="J25" s="326">
        <f>IF(I25=0,"",CONCATENATE(I25,"d",H25))</f>
      </c>
      <c r="K25" s="326"/>
      <c r="L25" s="326" t="s">
        <v>278</v>
      </c>
      <c r="M25" s="327">
        <f>IF(' 印刷'!H150="","",CONCATENATE(IF($M$24="",' 印刷'!L150,' 印刷'!H150),"フィート"))</f>
      </c>
      <c r="N25" s="324"/>
    </row>
    <row r="26" spans="8:14" ht="13.5">
      <c r="H26" s="325">
        <v>3</v>
      </c>
      <c r="I26" s="326">
        <f>COUNTIF('能力'!$I$38:$I$57,H26)</f>
        <v>0</v>
      </c>
      <c r="J26" s="326">
        <f aca="true" t="shared" si="0" ref="J26:J31">IF(I26=0,"",CONCATENATE(K26,I26,"d",H26))</f>
      </c>
      <c r="K26" s="326">
        <f>IF(COUNTIF(I25,0)=1,"","+")</f>
      </c>
      <c r="L26" s="326" t="s">
        <v>279</v>
      </c>
      <c r="M26" s="327">
        <f>IF(' 印刷'!AA150="","",CONCATENATE("飛行",IF($M$24="軽荷重",' 印刷'!AA150,' 印刷'!AE150),"フィート",' 印刷'!W150))</f>
      </c>
      <c r="N26" s="324">
        <f>IF(M26="","",IF(COUNTBLANK(M25)=1,""," ,"))</f>
      </c>
    </row>
    <row r="27" spans="8:14" ht="13.5">
      <c r="H27" s="325">
        <v>4</v>
      </c>
      <c r="I27" s="326">
        <f>COUNTIF('能力'!$I$38:$I$57,H27)</f>
        <v>0</v>
      </c>
      <c r="J27" s="326">
        <f t="shared" si="0"/>
      </c>
      <c r="K27" s="326">
        <f>IF(COUNTIF(I25:I26,0)=2,"","+")</f>
      </c>
      <c r="L27" s="326" t="s">
        <v>280</v>
      </c>
      <c r="M27" s="327">
        <f>IF(' 印刷'!AS150="","",CONCATENATE("水泳",IF($M$24="軽荷重",' 印刷'!AS150,' 印刷'!AW150),"フィート"))</f>
      </c>
      <c r="N27" s="324">
        <f>IF(M27="","",IF(COUNTBLANK(M25:M26)=2,""," ,"))</f>
      </c>
    </row>
    <row r="28" spans="8:14" ht="13.5">
      <c r="H28" s="325">
        <v>6</v>
      </c>
      <c r="I28" s="326">
        <f>COUNTIF('能力'!$I$38:$I$57,H28)</f>
        <v>0</v>
      </c>
      <c r="J28" s="326">
        <f t="shared" si="0"/>
      </c>
      <c r="K28" s="326">
        <f>IF(COUNTIF(I25:I27,0)=3,"","+")</f>
      </c>
      <c r="L28" s="326" t="s">
        <v>281</v>
      </c>
      <c r="M28" s="327">
        <f>IF(' 印刷'!H152="","",CONCATENATE("登攀",IF($M$24="軽荷重",' 印刷'!H152,' 印刷'!L152),"フィート"))</f>
      </c>
      <c r="N28" s="324">
        <f>IF(M28="","",IF(COUNTBLANK(M25:M27)=3,""," ,"))</f>
      </c>
    </row>
    <row r="29" spans="8:14" ht="13.5">
      <c r="H29" s="325">
        <v>8</v>
      </c>
      <c r="I29" s="326">
        <f>COUNTIF('能力'!$I$38:$I$57,H29)</f>
        <v>0</v>
      </c>
      <c r="J29" s="326">
        <f t="shared" si="0"/>
      </c>
      <c r="K29" s="326">
        <f>IF(COUNTIF(I25:I28,0)=4,"","+")</f>
      </c>
      <c r="L29" s="326" t="s">
        <v>282</v>
      </c>
      <c r="M29" s="327">
        <f>IF(' 印刷'!AA152="","",CONCATENATE("穴掘り",IF($M$24="軽荷重",' 印刷'!AA152,' 印刷'!AE152),"フィート"))</f>
      </c>
      <c r="N29" s="324">
        <f>IF(M29="","",IF(COUNTBLANK(M25:M28)=4,""," ,"))</f>
      </c>
    </row>
    <row r="30" spans="8:14" ht="13.5">
      <c r="H30" s="325">
        <v>10</v>
      </c>
      <c r="I30" s="326">
        <f>COUNTIF('能力'!$I$38:$I$57,H30)</f>
        <v>0</v>
      </c>
      <c r="J30" s="326">
        <f t="shared" si="0"/>
      </c>
      <c r="K30" s="326">
        <f>IF(COUNTIF(I25:I29,0)=5,"","+")</f>
      </c>
      <c r="L30" s="326"/>
      <c r="M30" s="327"/>
      <c r="N30" s="324"/>
    </row>
    <row r="31" spans="8:14" ht="13.5">
      <c r="H31" s="325">
        <v>12</v>
      </c>
      <c r="I31" s="326">
        <f>COUNTIF('能力'!$I$38:$I$57,H31)</f>
        <v>11</v>
      </c>
      <c r="J31" s="326" t="str">
        <f t="shared" si="0"/>
        <v>11d12</v>
      </c>
      <c r="K31" s="326">
        <f>IF(COUNTIF(I25:I30,0)=6,"","+")</f>
      </c>
      <c r="L31" s="326"/>
      <c r="M31" s="327"/>
      <c r="N31" s="324"/>
    </row>
    <row r="32" spans="8:14" ht="13.5">
      <c r="H32" s="325" t="s">
        <v>283</v>
      </c>
      <c r="I32" s="326" t="str">
        <f>IF('能力'!K32*'能力'!L20+'能力'!M34=0,"",IF('能力'!K32*'能力'!L20+'能力'!M34&lt;0,"","+"))</f>
        <v>+</v>
      </c>
      <c r="J32" s="326">
        <f>IF('能力'!K32*'能力'!L20+'能力'!M34=0,"",'能力'!K32*'能力'!L20+'能力'!M34)</f>
        <v>33</v>
      </c>
      <c r="K32" s="326"/>
      <c r="L32" s="326"/>
      <c r="M32" s="327"/>
      <c r="N32" s="324"/>
    </row>
    <row r="33" spans="8:14" ht="13.5">
      <c r="H33" s="325"/>
      <c r="I33" s="326"/>
      <c r="J33" s="326"/>
      <c r="K33" s="326"/>
      <c r="L33" s="326"/>
      <c r="M33" s="327"/>
      <c r="N33" s="324"/>
    </row>
    <row r="34" spans="8:14" ht="13.5">
      <c r="H34" s="325" t="s">
        <v>215</v>
      </c>
      <c r="I34" s="326"/>
      <c r="J34" s="326"/>
      <c r="K34" s="324" t="s">
        <v>296</v>
      </c>
      <c r="L34" s="324"/>
      <c r="M34" s="327"/>
      <c r="N34" s="324"/>
    </row>
    <row r="35" spans="8:14" ht="13.5">
      <c r="H35" s="325" t="s">
        <v>284</v>
      </c>
      <c r="I35" s="326">
        <f>IF('能力'!O62=0,"",IF('能力'!O62&gt;0,CONCATENATE(H35,"+",'能力'!O62),CONCATENATE(H35,'能力'!O62)))</f>
      </c>
      <c r="J35" s="326"/>
      <c r="K35" s="326" t="s">
        <v>141</v>
      </c>
      <c r="L35" s="324"/>
      <c r="M35" s="327"/>
      <c r="N35" s="324"/>
    </row>
    <row r="36" spans="8:14" ht="13.5">
      <c r="H36" s="325" t="s">
        <v>106</v>
      </c>
      <c r="I36" s="326">
        <f>IF('能力'!Z62=0,"",IF('能力'!Z62&gt;0,CONCATENATE(H36,"+",'能力'!Z62),CONCATENATE(H36,'能力'!Z62)))</f>
      </c>
      <c r="J36" s="326">
        <f>IF(I36="","",IF(COUNTBLANK(I35)=1,"","、"))</f>
      </c>
      <c r="K36" s="326" t="s">
        <v>142</v>
      </c>
      <c r="L36" s="324"/>
      <c r="M36" s="327"/>
      <c r="N36" s="324"/>
    </row>
    <row r="37" spans="8:14" ht="13.5">
      <c r="H37" s="325" t="s">
        <v>285</v>
      </c>
      <c r="I37" s="326" t="str">
        <f>IF('能力'!Q62=0,"",IF('能力'!Q62&gt;0,CONCATENATE(H37,"+",'能力'!Q62),CONCATENATE(H37,'能力'!Q62)))</f>
        <v>鎧+6</v>
      </c>
      <c r="J37" s="326">
        <f>IF(I37="","",IF(COUNTBLANK(I35:I36)=2,"","、"))</f>
      </c>
      <c r="K37" s="326" t="s">
        <v>143</v>
      </c>
      <c r="L37" s="324"/>
      <c r="M37" s="327"/>
      <c r="N37" s="324"/>
    </row>
    <row r="38" spans="8:14" ht="13.5">
      <c r="H38" s="325" t="s">
        <v>286</v>
      </c>
      <c r="I38" s="326">
        <f>IF('能力'!S62=0,"",IF('能力'!S62&gt;0,CONCATENATE(H38,"+",'能力'!S62),CONCATENATE(H38,'能力'!S62)))</f>
      </c>
      <c r="J38" s="326">
        <f>IF(I38="","",IF(COUNTBLANK(I35:I37)=3,"","、"))</f>
      </c>
      <c r="K38" s="326" t="s">
        <v>144</v>
      </c>
      <c r="L38" s="324"/>
      <c r="M38" s="327"/>
      <c r="N38" s="324"/>
    </row>
    <row r="39" spans="8:14" ht="13.5">
      <c r="H39" s="325" t="s">
        <v>287</v>
      </c>
      <c r="I39" s="326">
        <f>IF('能力'!U62=0,"",IF('能力'!U62&gt;0,CONCATENATE(H39,"+",'能力'!U62),CONCATENATE(H39,'能力'!U62)))</f>
      </c>
      <c r="J39" s="326">
        <f>IF(I39="","",IF(COUNTBLANK(I35:I38)=4,"","、"))</f>
      </c>
      <c r="K39" s="326" t="s">
        <v>144</v>
      </c>
      <c r="L39" s="324"/>
      <c r="M39" s="327"/>
      <c r="N39" s="324"/>
    </row>
    <row r="40" spans="8:14" ht="13.5">
      <c r="H40" s="325" t="s">
        <v>297</v>
      </c>
      <c r="I40" s="326">
        <f>IF('能力'!AB62=0,"",IF('能力'!AB62&gt;0,CONCATENATE(H40,"+",'能力'!AB62),CONCATENATE(H38,'能力'!AB62)))</f>
      </c>
      <c r="J40" s="326">
        <f>IF(I40="","",IF(COUNTBLANK(I35:I39)=5,"","、"))</f>
      </c>
      <c r="K40" s="326" t="s">
        <v>145</v>
      </c>
      <c r="L40" s="324"/>
      <c r="M40" s="327"/>
      <c r="N40" s="324"/>
    </row>
    <row r="41" spans="8:14" ht="13.5">
      <c r="H41" s="325" t="s">
        <v>298</v>
      </c>
      <c r="I41" s="326">
        <f>IF('能力'!AE62=0,"",IF('能力'!AE62&gt;0,CONCATENATE(H41,"+",'能力'!AE62),CONCATENATE(H38,'能力'!AE62)))</f>
      </c>
      <c r="J41" s="326">
        <f>IF(I41="","",IF(COUNTBLANK(I35:I40)=6,"","、"))</f>
      </c>
      <c r="K41" s="326" t="s">
        <v>146</v>
      </c>
      <c r="L41" s="324"/>
      <c r="M41" s="327"/>
      <c r="N41" s="324"/>
    </row>
    <row r="42" spans="8:14" ht="13.5">
      <c r="H42" s="325" t="str">
        <f>'能力'!W61</f>
        <v>その他の防具</v>
      </c>
      <c r="I42" s="326">
        <f>IF('能力'!W62=0,"",IF('能力'!W62&gt;0,CONCATENATE(H42,"+",'能力'!W62),CONCATENATE(H38,'能力'!W62)))</f>
      </c>
      <c r="J42" s="326">
        <f>IF(I42="","",IF(COUNTBLANK(I35:I41)=7,"","、"))</f>
      </c>
      <c r="K42" s="326" t="s">
        <v>147</v>
      </c>
      <c r="L42" s="324"/>
      <c r="M42" s="327"/>
      <c r="N42" s="324"/>
    </row>
    <row r="43" spans="8:14" ht="13.5">
      <c r="H43" s="325"/>
      <c r="I43" s="326"/>
      <c r="J43" s="326"/>
      <c r="K43" s="326" t="s">
        <v>148</v>
      </c>
      <c r="L43" s="324"/>
      <c r="M43" s="327"/>
      <c r="N43" s="324"/>
    </row>
    <row r="44" spans="8:14" ht="13.5">
      <c r="H44" s="325" t="s">
        <v>149</v>
      </c>
      <c r="I44" s="326"/>
      <c r="J44" s="326"/>
      <c r="K44" s="326"/>
      <c r="L44" s="326"/>
      <c r="M44" s="327"/>
      <c r="N44" s="324"/>
    </row>
    <row r="45" spans="8:14" ht="13.5">
      <c r="H45" s="325" t="str">
        <f>IF('能力'!Q32&lt;0,"","+")</f>
        <v>+</v>
      </c>
      <c r="I45" s="326" t="str">
        <f>IF('能力'!S32&lt;0,"","+")</f>
        <v>+</v>
      </c>
      <c r="J45" s="326" t="str">
        <f>IF('能力'!U32&lt;0,"","+")</f>
        <v>+</v>
      </c>
      <c r="K45" s="326"/>
      <c r="L45" s="326"/>
      <c r="M45" s="327"/>
      <c r="N45" s="324"/>
    </row>
    <row r="46" spans="6:14" ht="13.5">
      <c r="F46" s="328"/>
      <c r="H46" s="325" t="s">
        <v>288</v>
      </c>
      <c r="I46" s="326" t="str">
        <f>CONCATENATE(H48,H49,H50,H51,H52,H53,H54,H55,H56,H57,H58,H59,H60,H61,H62,H63,H64,H65,H66,H67,H68,H69,H70,H71,H72,H73,H74,H75,H76,H77)</f>
        <v>Acrobatics+9、Climb+16、Intimidate+14</v>
      </c>
      <c r="J46" s="326"/>
      <c r="K46" s="326"/>
      <c r="L46" s="326"/>
      <c r="M46" s="327"/>
      <c r="N46" s="324"/>
    </row>
    <row r="47" spans="7:14" ht="13.5">
      <c r="G47" s="328"/>
      <c r="H47" s="329"/>
      <c r="I47" s="326" t="str">
        <f>CONCATENATE(H78,H79,H80,H81,H82,H83,H84,H85,H86,H87,H88,H89,H90,H91,H92,H93,H94,H95,H96,H97,H98,H99,H100,H101,H102,H103,H104,H105,H106)</f>
        <v>、Swim+16、Ride+9</v>
      </c>
      <c r="J47" s="326"/>
      <c r="K47" s="326" t="s">
        <v>299</v>
      </c>
      <c r="L47" s="326" t="s">
        <v>300</v>
      </c>
      <c r="M47" s="327"/>
      <c r="N47" s="324"/>
    </row>
    <row r="48" spans="6:14" ht="13.5">
      <c r="F48" s="328"/>
      <c r="H48" s="325" t="str">
        <f>IF('技能'!O12&lt;0.5,"",CONCATENATE('技能'!B12,I48))</f>
        <v>Acrobatics+9</v>
      </c>
      <c r="I48" s="330" t="str">
        <f>IF('技能'!E12&gt;0,CONCATENATE("+",'技能'!E12),'技能'!E12)</f>
        <v>+9</v>
      </c>
      <c r="J48" s="326"/>
      <c r="K48" s="326" t="str">
        <f>IF(OR('能力'!BZ25=TRUE,'能力'!AQ64=""),"",'能力'!AQ64)</f>
        <v>Rage 27Round/day</v>
      </c>
      <c r="L48" s="326">
        <f>IF(OR('能力'!BZ25=FALSE,'能力'!AQ64=""),"",'能力'!AQ64)</f>
      </c>
      <c r="M48" s="327"/>
      <c r="N48" s="324"/>
    </row>
    <row r="49" spans="8:14" ht="13.5">
      <c r="H49" s="325">
        <f>IF('技能'!O13&lt;0.5,"",IF(COUNTBLANK($H$48:H48)=J49,CONCATENATE('技能'!B13,I49),CONCATENATE("、",'技能'!B13,I49)))</f>
      </c>
      <c r="I49" s="330">
        <f>IF('技能'!E13&gt;0,CONCATENATE("+",'技能'!E13),'技能'!E13)</f>
        <v>0</v>
      </c>
      <c r="J49" s="326">
        <v>1</v>
      </c>
      <c r="K49" s="326">
        <f>IF(OR('能力'!BZ26=TRUE,'能力'!AQ65=""),"",IF(COUNTBLANK($K$48:K48)=J49,'能力'!AQ65,CONCATENATE("、",'能力'!AQ65)))</f>
      </c>
      <c r="L49" s="326">
        <f>IF(OR('能力'!BZ26=FALSE,'能力'!AQ65=""),"",IF(COUNTBLANK($L$48:L48)=J49,'能力'!AQ65,CONCATENATE("、",'能力'!AQ65)))</f>
      </c>
      <c r="M49" s="327"/>
      <c r="N49" s="324"/>
    </row>
    <row r="50" spans="8:14" ht="13.5">
      <c r="H50" s="325">
        <f>IF('技能'!O14&lt;0.5,"",IF(COUNTBLANK($H$48:H49)=J50,CONCATENATE('技能'!B14,I50),CONCATENATE("、",'技能'!B14,I50)))</f>
      </c>
      <c r="I50" s="330">
        <f>IF('技能'!E14&gt;0,CONCATENATE("+",'技能'!E14),'技能'!E14)</f>
        <v>0</v>
      </c>
      <c r="J50" s="326">
        <v>2</v>
      </c>
      <c r="K50" s="326">
        <f>IF(OR('能力'!BZ27=TRUE,'能力'!AQ66=""),"",IF(COUNTBLANK($K$48:K49)=J50,'能力'!AQ66,CONCATENATE("、",'能力'!AQ66)))</f>
      </c>
      <c r="L50" s="326">
        <f>IF(OR('能力'!BZ27=FALSE,'能力'!AQ66=""),"",IF(COUNTBLANK($L$48:L49)=J50,'能力'!AQ66,CONCATENATE("、",'能力'!AQ66)))</f>
      </c>
      <c r="M50" s="327"/>
      <c r="N50" s="324"/>
    </row>
    <row r="51" spans="8:14" ht="13.5">
      <c r="H51" s="325" t="str">
        <f>IF('技能'!O15&lt;0.5,"",IF(COUNTBLANK($H$48:H50)=J51,CONCATENATE('技能'!B15,I51),CONCATENATE("、",'技能'!B15,I51)))</f>
        <v>、Climb+16</v>
      </c>
      <c r="I51" s="330" t="str">
        <f>IF('技能'!E15&gt;0,CONCATENATE("+",'技能'!E15),'技能'!E15)</f>
        <v>+16</v>
      </c>
      <c r="J51" s="326">
        <v>3</v>
      </c>
      <c r="K51" s="326">
        <f>IF(OR('能力'!BZ28=TRUE,'能力'!AQ67=""),"",IF(COUNTBLANK($K$48:K50)=J51,'能力'!AQ67,CONCATENATE("、",'能力'!AQ67)))</f>
      </c>
      <c r="L51" s="326">
        <f>IF(OR('能力'!BZ28=FALSE,'能力'!AQ67=""),"",IF(COUNTBLANK($L$48:L50)=J51,'能力'!AQ67,CONCATENATE("、",'能力'!AQ67)))</f>
      </c>
      <c r="M51" s="327"/>
      <c r="N51" s="324"/>
    </row>
    <row r="52" spans="8:14" ht="13.5">
      <c r="H52" s="325">
        <f>IF('技能'!O16&lt;0.5,"",IF(COUNTBLANK($H$48:H51)=J52,CONCATENATE('技能'!B16,I52),CONCATENATE("、",'技能'!B16,I52)))</f>
      </c>
      <c r="I52" s="330">
        <f>IF('技能'!E16&gt;0,CONCATENATE("+",'技能'!E16),'技能'!E16)</f>
        <v>0</v>
      </c>
      <c r="J52" s="326">
        <v>4</v>
      </c>
      <c r="K52" s="326">
        <f>IF(OR('能力'!BZ29=TRUE,'能力'!AQ68=""),"",IF(COUNTBLANK($K$48:K51)=J52,'能力'!AQ68,CONCATENATE("、",'能力'!AQ68)))</f>
      </c>
      <c r="L52" s="326">
        <f>IF(OR('能力'!BZ29=FALSE,'能力'!AQ68=""),"",IF(COUNTBLANK($L$48:L51)=J52,'能力'!AQ68,CONCATENATE("、",'能力'!AQ68)))</f>
      </c>
      <c r="M52" s="327">
        <v>1</v>
      </c>
      <c r="N52" s="324"/>
    </row>
    <row r="53" spans="8:14" ht="13.5">
      <c r="H53" s="325">
        <f>IF('技能'!O17&lt;0.5,"",IF(COUNTBLANK($H$48:H52)=J53,CONCATENATE('技能'!B17,I53),CONCATENATE("、",'技能'!B17,I53)))</f>
      </c>
      <c r="I53" s="330">
        <f>IF('技能'!E17&gt;0,CONCATENATE("+",'技能'!E17),'技能'!E17)</f>
        <v>0</v>
      </c>
      <c r="J53" s="326">
        <v>5</v>
      </c>
      <c r="K53" s="326">
        <f>IF(OR('能力'!BZ30=TRUE,'能力'!AQ69=""),"",IF(COUNTBLANK($K$48:K52)=J53,'能力'!AQ69,CONCATENATE("、",'能力'!AQ69)))</f>
      </c>
      <c r="L53" s="326">
        <f>IF(OR('能力'!BZ30=FALSE,'能力'!AQ69=""),"",IF(COUNTBLANK($L$48:L52)=J53,'能力'!AQ69,CONCATENATE("、",'能力'!AQ69)))</f>
      </c>
      <c r="M53" s="327">
        <v>2</v>
      </c>
      <c r="N53" s="324"/>
    </row>
    <row r="54" spans="8:14" ht="13.5">
      <c r="H54" s="325">
        <f>IF('技能'!O18&lt;0.5,"",IF(COUNTBLANK($H$48:H53)=J54,CONCATENATE('技能'!B18,I54),CONCATENATE("、",'技能'!B18,I54)))</f>
      </c>
      <c r="I54" s="330">
        <f>IF('技能'!E18&gt;0,CONCATENATE("+",'技能'!E18),'技能'!E18)</f>
        <v>0</v>
      </c>
      <c r="J54" s="326">
        <v>6</v>
      </c>
      <c r="K54" s="326">
        <f>IF(OR('能力'!BZ31=TRUE,'能力'!AQ70=""),"",IF(COUNTBLANK($K$48:K53)=J54,'能力'!AQ70,CONCATENATE("、",'能力'!AQ70)))</f>
      </c>
      <c r="L54" s="326">
        <f>IF(OR('能力'!BZ31=FALSE,'能力'!AQ70=""),"",IF(COUNTBLANK($L$48:L53)=J54,'能力'!AQ70,CONCATENATE("、",'能力'!AQ70)))</f>
      </c>
      <c r="M54" s="327">
        <v>3</v>
      </c>
      <c r="N54" s="324"/>
    </row>
    <row r="55" spans="8:14" ht="13.5">
      <c r="H55" s="325">
        <f>IF('技能'!O19&lt;0.5,"",IF(COUNTBLANK($H$48:H54)=J55,CONCATENATE('技能'!B19,I55),CONCATENATE("、",'技能'!B19,I55)))</f>
      </c>
      <c r="I55" s="330">
        <f>IF('技能'!E19&gt;0,CONCATENATE("+",'技能'!E19),'技能'!E19)</f>
        <v>0</v>
      </c>
      <c r="J55" s="326">
        <v>7</v>
      </c>
      <c r="K55" s="326">
        <f>IF(OR('能力'!BZ32=TRUE,'能力'!AQ71=""),"",IF(COUNTBLANK($K$48:K54)=J55,'能力'!AQ71,CONCATENATE("、",'能力'!AQ71)))</f>
      </c>
      <c r="L55" s="326">
        <f>IF(OR('能力'!BZ32=FALSE,'能力'!AQ71=""),"",IF(COUNTBLANK($L$48:L54)=J55,'能力'!AQ71,CONCATENATE("、",'能力'!AQ71)))</f>
      </c>
      <c r="M55" s="327"/>
      <c r="N55" s="324"/>
    </row>
    <row r="56" spans="8:14" ht="13.5">
      <c r="H56" s="325">
        <f>IF('技能'!O20&lt;0.5,"",IF(COUNTBLANK($H$48:H55)=J56,CONCATENATE('技能'!B20,I56),CONCATENATE("、",'技能'!B20,I56)))</f>
      </c>
      <c r="I56" s="330" t="str">
        <f>IF('技能'!E20&gt;0,CONCATENATE("+",'技能'!E20),'技能'!E20)</f>
        <v>+-</v>
      </c>
      <c r="J56" s="326">
        <v>8</v>
      </c>
      <c r="K56" s="326">
        <f>IF(OR('能力'!BZ33=TRUE,'能力'!AQ72=""),"",IF(COUNTBLANK($K$48:K55)=J56,'能力'!AQ72,CONCATENATE("、",'能力'!AQ72)))</f>
      </c>
      <c r="L56" s="326">
        <f>IF(OR('能力'!BZ33=FALSE,'能力'!AQ72=""),"",IF(COUNTBLANK($L$48:L55)=J56,'能力'!AQ72,CONCATENATE("、",'能力'!AQ72)))</f>
      </c>
      <c r="M56" s="327"/>
      <c r="N56" s="324"/>
    </row>
    <row r="57" spans="8:14" ht="13.5">
      <c r="H57" s="325">
        <f>IF('技能'!O21&lt;0.5,"",IF(COUNTBLANK($H$48:H56)=J57,CONCATENATE('技能'!B21,I57),CONCATENATE("、",'技能'!B21,I57)))</f>
      </c>
      <c r="I57" s="330">
        <f>IF('技能'!E21&gt;0,CONCATENATE("+",'技能'!E21),'技能'!E21)</f>
        <v>0</v>
      </c>
      <c r="J57" s="326">
        <v>9</v>
      </c>
      <c r="K57" s="326">
        <f>IF(OR('能力'!BZ34=TRUE,'能力'!AQ73=""),"",IF(COUNTBLANK($K$48:K56)=J57,'能力'!AQ73,CONCATENATE("、",'能力'!AQ73)))</f>
      </c>
      <c r="L57" s="326">
        <f>IF(OR('能力'!BZ34=FALSE,'能力'!AQ73=""),"",IF(COUNTBLANK($L$48:L56)=J57,'能力'!AQ73,CONCATENATE("、",'能力'!AQ73)))</f>
      </c>
      <c r="M57" s="327"/>
      <c r="N57" s="324"/>
    </row>
    <row r="58" spans="8:14" ht="13.5">
      <c r="H58" s="325">
        <f>IF('技能'!O22&lt;0.5,"",IF(COUNTBLANK($H$48:H57)=J58,CONCATENATE('技能'!B22,I58),CONCATENATE("、",'技能'!B22,I58)))</f>
      </c>
      <c r="I58" s="330">
        <f>IF('技能'!E22&gt;0,CONCATENATE("+",'技能'!E22),'技能'!E22)</f>
        <v>-5</v>
      </c>
      <c r="J58" s="326">
        <v>10</v>
      </c>
      <c r="K58" s="326" t="str">
        <f>IF(OR('能力'!BZ35=TRUE,'能力'!AQ74=""),"",IF(COUNTBLANK($K$48:K57)=J58,'能力'!AQ74,CONCATENATE("、",'能力'!AQ74)))</f>
        <v>、Lesser Beast Totem</v>
      </c>
      <c r="L58" s="326">
        <f>IF(OR('能力'!BZ35=FALSE,'能力'!AQ74=""),"",IF(COUNTBLANK($L$48:L57)=J58,'能力'!AQ74,CONCATENATE("、",'能力'!AQ74)))</f>
      </c>
      <c r="M58" s="327"/>
      <c r="N58" s="324"/>
    </row>
    <row r="59" spans="8:14" ht="13.5">
      <c r="H59" s="325">
        <f>IF('技能'!O23&lt;0.5,"",IF(COUNTBLANK($H$48:H58)=J59,CONCATENATE('技能'!B23,I59),CONCATENATE("、",'技能'!B23,I59)))</f>
      </c>
      <c r="I59" s="330" t="str">
        <f>IF('技能'!E23&gt;0,CONCATENATE("+",'技能'!E23),'技能'!E23)</f>
        <v>+-</v>
      </c>
      <c r="J59" s="326">
        <v>11</v>
      </c>
      <c r="K59" s="326" t="str">
        <f>IF(OR('能力'!BZ36=TRUE,'能力'!AQ75=""),"",IF(COUNTBLANK($K$48:K58)=J59,'能力'!AQ75,CONCATENATE("、",'能力'!AQ75)))</f>
        <v>、Animal fury</v>
      </c>
      <c r="L59" s="326">
        <f>IF(OR('能力'!BZ36=FALSE,'能力'!AQ75=""),"",IF(COUNTBLANK($L$48:L58)=J59,'能力'!AQ75,CONCATENATE("、",'能力'!AQ75)))</f>
      </c>
      <c r="M59" s="327"/>
      <c r="N59" s="324"/>
    </row>
    <row r="60" spans="8:14" ht="13.5">
      <c r="H60" s="325">
        <f>IF('技能'!O24&lt;0.5,"",IF(COUNTBLANK($H$48:H59)=J60,CONCATENATE('技能'!B24,I60),CONCATENATE("、",'技能'!B24,I60)))</f>
      </c>
      <c r="I60" s="330" t="str">
        <f>IF('技能'!E24&gt;0,CONCATENATE("+",'技能'!E24),'技能'!E24)</f>
        <v>+-</v>
      </c>
      <c r="J60" s="326">
        <v>12</v>
      </c>
      <c r="K60" s="326" t="str">
        <f>IF(OR('能力'!BZ37=TRUE,'能力'!AQ76=""),"",IF(COUNTBLANK($K$48:K59)=J60,'能力'!AQ76,CONCATENATE("、",'能力'!AQ76)))</f>
        <v>、Beast Totem</v>
      </c>
      <c r="L60" s="326">
        <f>IF(OR('能力'!BZ37=FALSE,'能力'!AQ76=""),"",IF(COUNTBLANK($L$48:L59)=J60,'能力'!AQ76,CONCATENATE("、",'能力'!AQ76)))</f>
      </c>
      <c r="M60" s="327"/>
      <c r="N60" s="324"/>
    </row>
    <row r="61" spans="8:14" ht="13.5">
      <c r="H61" s="325">
        <f>IF('技能'!O66&lt;0.5,"",IF(COUNTBLANK($H$48:H60)=J61,CONCATENATE('技能'!B66,I61),CONCATENATE("、",'技能'!B66,I61)))</f>
      </c>
      <c r="I61" s="330" t="str">
        <f>IF('技能'!E66&gt;0,CONCATENATE("+",'技能'!E66),'技能'!E66)</f>
        <v>+-</v>
      </c>
      <c r="J61" s="326">
        <v>13</v>
      </c>
      <c r="K61" s="326" t="str">
        <f>IF(OR('能力'!BZ38=TRUE,'能力'!AQ77=""),"",IF(COUNTBLANK($K$48:K60)=J61,'能力'!AQ77,CONCATENATE("、",'能力'!AQ77)))</f>
        <v>、Strength Surge</v>
      </c>
      <c r="L61" s="326">
        <f>IF(OR('能力'!BZ38=FALSE,'能力'!AQ77=""),"",IF(COUNTBLANK($L$48:L60)=J61,'能力'!AQ77,CONCATENATE("、",'能力'!AQ77)))</f>
      </c>
      <c r="M61" s="327"/>
      <c r="N61" s="324"/>
    </row>
    <row r="62" spans="8:14" ht="13.5">
      <c r="H62" s="325">
        <f>IF('技能'!O25&lt;0.5,"",IF(COUNTBLANK($H$48:H61)=J62,CONCATENATE('技能'!B25,I62),CONCATENATE("、",'技能'!B25,I62)))</f>
      </c>
      <c r="I62" s="330">
        <f>IF('技能'!E25&gt;0,CONCATENATE("+",'技能'!E25),'技能'!E25)</f>
        <v>0</v>
      </c>
      <c r="J62" s="326">
        <v>14</v>
      </c>
      <c r="K62" s="326" t="str">
        <f>IF(OR('能力'!BZ39=TRUE,'能力'!AQ78=""),"",IF(COUNTBLANK($K$48:K61)=J62,'能力'!AQ78,CONCATENATE("、",'能力'!AQ78)))</f>
        <v>、Reckless Abandon</v>
      </c>
      <c r="L62" s="326">
        <f>IF(OR('能力'!BZ39=FALSE,'能力'!AQ78=""),"",IF(COUNTBLANK($L$48:L61)=J62,'能力'!AQ78,CONCATENATE("、",'能力'!AQ78)))</f>
      </c>
      <c r="M62" s="327"/>
      <c r="N62" s="324"/>
    </row>
    <row r="63" spans="8:14" ht="13.5">
      <c r="H63" s="325">
        <f>IF('技能'!O28&lt;0.5,"",IF(COUNTBLANK($H$48:H62)=J63,CONCATENATE('技能'!B28,I63),CONCATENATE("、",'技能'!B28,I63)))</f>
      </c>
      <c r="I63" s="330" t="str">
        <f>IF('技能'!E28&gt;0,CONCATENATE("+",'技能'!E28),'技能'!E28)</f>
        <v>+-</v>
      </c>
      <c r="J63" s="326">
        <v>15</v>
      </c>
      <c r="K63" s="331">
        <f>IF(OR('能力'!BZ40=TRUE,'能力'!AQ79=""),"",IF(COUNTBLANK($K$48:K62)=J63,'能力'!AQ79,CONCATENATE("、",'能力'!AQ79)))</f>
      </c>
      <c r="L63" s="331">
        <f>IF(OR('能力'!BZ40=FALSE,'能力'!AQ79=""),"",IF(COUNTBLANK($L$48:L62)=J63,'能力'!AQ79,CONCATENATE("、",'能力'!AQ79)))</f>
      </c>
      <c r="M63" s="327"/>
      <c r="N63" s="324"/>
    </row>
    <row r="64" spans="8:14" ht="13.5">
      <c r="H64" s="325" t="str">
        <f>IF('技能'!O26&lt;0.5,"",IF(COUNTBLANK($H$48:H63)=J64,CONCATENATE('技能'!B26,I64),CONCATENATE("、",'技能'!B26,I64)))</f>
        <v>、Intimidate+14</v>
      </c>
      <c r="I64" s="330" t="str">
        <f>IF('技能'!E26&gt;0,CONCATENATE("+",'技能'!E26),'技能'!E26)</f>
        <v>+14</v>
      </c>
      <c r="J64" s="326">
        <v>16</v>
      </c>
      <c r="K64" s="326">
        <f>IF(OR('能力'!CB25=TRUE,'能力'!AZ63=""),"",IF(COUNTBLANK($K$48:K63)=J63,'能力'!AZ63,CONCATENATE("、",'能力'!AZ63)))</f>
      </c>
      <c r="L64" s="326">
        <f>IF(OR('能力'!CB25=FALSE,'能力'!AZ63=""),"",IF(COUNTBLANK($L$48:L63)=J64,'能力'!AZ63,CONCATENATE("、",'能力'!AZ63)))</f>
      </c>
      <c r="M64" s="327"/>
      <c r="N64" s="324"/>
    </row>
    <row r="65" spans="8:14" ht="13.5">
      <c r="H65" s="325">
        <f>IF('技能'!O27&lt;0.5,"",IF(COUNTBLANK($H$48:H64)=J65,CONCATENATE('技能'!B27,I65),CONCATENATE("、",'技能'!B27,I65)))</f>
      </c>
      <c r="I65" s="330" t="str">
        <f>IF('技能'!E27&gt;0,CONCATENATE("+",'技能'!E27),'技能'!E27)</f>
        <v>+-</v>
      </c>
      <c r="J65" s="326">
        <v>17</v>
      </c>
      <c r="K65" s="326">
        <f>IF(OR('能力'!CB26=TRUE,'能力'!AZ64=""),"",IF(COUNTBLANK($K$48:K64)=J64,'能力'!AZ64,CONCATENATE("、",'能力'!AZ64)))</f>
      </c>
      <c r="L65" s="326">
        <f>IF(OR('能力'!CB26=FALSE,'能力'!AZ64=""),"",IF(COUNTBLANK($L$48:L64)=J65,'能力'!AZ64,CONCATENATE("、",'能力'!AZ64)))</f>
      </c>
      <c r="M65" s="327"/>
      <c r="N65" s="324"/>
    </row>
    <row r="66" spans="8:14" ht="13.5">
      <c r="H66" s="325">
        <f>IF('技能'!O29&lt;0.5,"",IF(COUNTBLANK($H$48:H65)=J66,CONCATENATE('技能'!B29,I66),CONCATENATE("、",'技能'!B29,I66)))</f>
      </c>
      <c r="I66" s="330" t="str">
        <f>IF('技能'!E29&gt;0,CONCATENATE("+",'技能'!E29),'技能'!E29)</f>
        <v>+-</v>
      </c>
      <c r="J66" s="326">
        <v>18</v>
      </c>
      <c r="K66" s="326">
        <f>IF(OR('能力'!CB27=TRUE,'能力'!AZ65=""),"",IF(COUNTBLANK($K$48:K65)=J65,'能力'!AZ65,CONCATENATE("、",'能力'!AZ65)))</f>
      </c>
      <c r="L66" s="326">
        <f>IF(OR('能力'!CB27=FALSE,'能力'!AZ65=""),"",IF(COUNTBLANK($L$48:L65)=J66,'能力'!AZ65,CONCATENATE("、",'能力'!AZ65)))</f>
      </c>
      <c r="M66" s="327"/>
      <c r="N66" s="324"/>
    </row>
    <row r="67" spans="8:14" ht="13.5">
      <c r="H67" s="325">
        <f>IF('技能'!O30&lt;0.5,"",IF(COUNTBLANK($H$48:H66)=J67,CONCATENATE('技能'!B30,I67),CONCATENATE("、",'技能'!B30,I67)))</f>
      </c>
      <c r="I67" s="330" t="str">
        <f>IF('技能'!E30&gt;0,CONCATENATE("+",'技能'!E30),'技能'!E30)</f>
        <v>+-</v>
      </c>
      <c r="J67" s="326">
        <v>19</v>
      </c>
      <c r="K67" s="326">
        <f>IF(OR('能力'!CB28=TRUE,'能力'!AZ66=""),"",IF(COUNTBLANK($K$48:K66)=J66,'能力'!AZ66,CONCATENATE("、",'能力'!AZ66)))</f>
      </c>
      <c r="L67" s="326">
        <f>IF(OR('能力'!CB28=FALSE,'能力'!AZ66=""),"",IF(COUNTBLANK($L$48:L66)=J67,'能力'!AZ66,CONCATENATE("、",'能力'!AZ66)))</f>
      </c>
      <c r="M67" s="327"/>
      <c r="N67" s="324"/>
    </row>
    <row r="68" spans="8:14" ht="13.5">
      <c r="H68" s="325">
        <f>IF('技能'!O31&lt;0.5,"",IF(COUNTBLANK($H$48:H67)=J68,CONCATENATE('技能'!B31,I68),CONCATENATE("、",'技能'!B31,I68)))</f>
      </c>
      <c r="I68" s="330" t="str">
        <f>IF('技能'!E31&gt;0,CONCATENATE("+",'技能'!E31),'技能'!E31)</f>
        <v>+-</v>
      </c>
      <c r="J68" s="326">
        <v>20</v>
      </c>
      <c r="K68" s="326">
        <f>IF(OR('能力'!CB29=TRUE,'能力'!AZ67=""),"",IF(COUNTBLANK($K$48:K67)=J67,'能力'!AZ67,CONCATENATE("、",'能力'!AZ67)))</f>
      </c>
      <c r="L68" s="326">
        <f>IF(OR('能力'!CB29=FALSE,'能力'!AZ67=""),"",IF(COUNTBLANK($L$48:L67)=J68,'能力'!AZ67,CONCATENATE("、",'能力'!AZ67)))</f>
      </c>
      <c r="M68" s="327"/>
      <c r="N68" s="324"/>
    </row>
    <row r="69" spans="8:14" ht="13.5">
      <c r="H69" s="325">
        <f>IF('技能'!O32&lt;0.5,"",IF(COUNTBLANK($H$48:H68)=J69,CONCATENATE('技能'!B32,I69),CONCATENATE("、",'技能'!B32,I69)))</f>
      </c>
      <c r="I69" s="330" t="str">
        <f>IF('技能'!E32&gt;0,CONCATENATE("+",'技能'!E32),'技能'!E32)</f>
        <v>+-</v>
      </c>
      <c r="J69" s="326">
        <v>21</v>
      </c>
      <c r="K69" s="326">
        <f>IF(OR('能力'!CB30=TRUE,'能力'!AZ68=""),"",IF(COUNTBLANK($K$48:K68)=J68,'能力'!AZ68,CONCATENATE("、",'能力'!AZ68)))</f>
      </c>
      <c r="L69" s="326">
        <f>IF(OR('能力'!CB30=FALSE,'能力'!AZ68=""),"",IF(COUNTBLANK($L$48:L68)=J69,'能力'!AZ68,CONCATENATE("、",'能力'!AZ68)))</f>
      </c>
      <c r="M69" s="327"/>
      <c r="N69" s="324"/>
    </row>
    <row r="70" spans="8:14" ht="13.5">
      <c r="H70" s="325">
        <f>IF('技能'!O33&lt;0.5,"",IF(COUNTBLANK($H$48:H69)=J70,CONCATENATE('技能'!B33,I70),CONCATENATE("、",'技能'!B33,I70)))</f>
      </c>
      <c r="I70" s="330" t="str">
        <f>IF('技能'!E33&gt;0,CONCATENATE("+",'技能'!E33),'技能'!E33)</f>
        <v>+-</v>
      </c>
      <c r="J70" s="326">
        <v>22</v>
      </c>
      <c r="K70" s="326">
        <f>IF(OR('能力'!CB31=TRUE,'能力'!AZ69=""),"",IF(COUNTBLANK($K$48:K69)=J69,'能力'!AZ69,CONCATENATE("、",'能力'!AZ69)))</f>
      </c>
      <c r="L70" s="326">
        <f>IF(OR('能力'!CB31=FALSE,'能力'!AZ69=""),"",IF(COUNTBLANK($L$48:L69)=J70,'能力'!AZ69,CONCATENATE("、",'能力'!AZ69)))</f>
      </c>
      <c r="M70" s="327"/>
      <c r="N70" s="324"/>
    </row>
    <row r="71" spans="8:14" ht="13.5">
      <c r="H71" s="325">
        <f>IF('技能'!O34&lt;0.5,"",IF(COUNTBLANK($H$48:H70)=J71,CONCATENATE('技能'!B34,I71),CONCATENATE("、",'技能'!B34,I71)))</f>
      </c>
      <c r="I71" s="330" t="str">
        <f>IF('技能'!E34&gt;0,CONCATENATE("+",'技能'!E34),'技能'!E34)</f>
        <v>+-</v>
      </c>
      <c r="J71" s="326">
        <v>23</v>
      </c>
      <c r="K71" s="326">
        <f>IF(OR('能力'!CB32=TRUE,'能力'!AZ70=""),"",IF(COUNTBLANK($K$48:K70)=J70,'能力'!AZ70,CONCATENATE("、",'能力'!AZ70)))</f>
      </c>
      <c r="L71" s="326">
        <f>IF(OR('能力'!CB32=FALSE,'能力'!AZ70=""),"",IF(COUNTBLANK($L$48:L70)=J71,'能力'!AZ70,CONCATENATE("、",'能力'!AZ70)))</f>
      </c>
      <c r="M71" s="327"/>
      <c r="N71" s="324"/>
    </row>
    <row r="72" spans="8:14" ht="13.5">
      <c r="H72" s="325">
        <f>IF('技能'!O35&lt;0.5,"",IF(COUNTBLANK($H$48:H71)=J72,CONCATENATE('技能'!B35,I72),CONCATENATE("、",'技能'!B35,I72)))</f>
      </c>
      <c r="I72" s="330" t="str">
        <f>IF('技能'!E35&gt;0,CONCATENATE("+",'技能'!E35),'技能'!E35)</f>
        <v>+-</v>
      </c>
      <c r="J72" s="326">
        <v>24</v>
      </c>
      <c r="K72" s="326">
        <f>IF(OR('能力'!CB33=TRUE,'能力'!AZ71=""),"",IF(COUNTBLANK($K$48:K71)=J71,'能力'!AZ71,CONCATENATE("、",'能力'!AZ71)))</f>
      </c>
      <c r="L72" s="326">
        <f>IF(OR('能力'!CB33=FALSE,'能力'!AZ71=""),"",IF(COUNTBLANK($L$48:L71)=J72,'能力'!AZ71,CONCATENATE("、",'能力'!AZ71)))</f>
      </c>
      <c r="M72" s="327"/>
      <c r="N72" s="324"/>
    </row>
    <row r="73" spans="8:14" ht="13.5">
      <c r="H73" s="325">
        <f>IF('技能'!O36&lt;0.5,"",IF(COUNTBLANK($H$48:H72)=J73,CONCATENATE('技能'!B36,I73),CONCATENATE("、",'技能'!B36,I73)))</f>
      </c>
      <c r="I73" s="330" t="str">
        <f>IF('技能'!E36&gt;0,CONCATENATE("+",'技能'!E36),'技能'!E36)</f>
        <v>+-</v>
      </c>
      <c r="J73" s="326">
        <v>25</v>
      </c>
      <c r="K73" s="326">
        <f>IF(OR('能力'!CB34=TRUE,'能力'!AZ72=""),"",IF(COUNTBLANK($K$48:K72)=J72,'能力'!AZ72,CONCATENATE("、",'能力'!AZ72)))</f>
      </c>
      <c r="L73" s="326">
        <f>IF(OR('能力'!CB34=FALSE,'能力'!AZ72=""),"",IF(COUNTBLANK($L$48:L72)=J73,'能力'!AZ72,CONCATENATE("、",'能力'!AZ72)))</f>
      </c>
      <c r="M73" s="327"/>
      <c r="N73" s="324"/>
    </row>
    <row r="74" spans="8:14" ht="13.5">
      <c r="H74" s="325">
        <f>IF('技能'!O37&lt;0.5,"",IF(COUNTBLANK($H$48:H73)=J74,CONCATENATE('技能'!B37,I74),CONCATENATE("、",'技能'!B37,I74)))</f>
      </c>
      <c r="I74" s="330" t="str">
        <f>IF('技能'!E37&gt;0,CONCATENATE("+",'技能'!E37),'技能'!E37)</f>
        <v>+-</v>
      </c>
      <c r="J74" s="326">
        <v>26</v>
      </c>
      <c r="K74" s="326">
        <f>IF(OR('能力'!CB35=TRUE,'能力'!AZ73=""),"",IF(COUNTBLANK($K$48:K73)=J73,'能力'!AZ73,CONCATENATE("、",'能力'!AZ73)))</f>
      </c>
      <c r="L74" s="326">
        <f>IF(OR('能力'!CB35=FALSE,'能力'!AZ73=""),"",IF(COUNTBLANK($L$48:L73)=J74,'能力'!AZ73,CONCATENATE("、",'能力'!AZ73)))</f>
      </c>
      <c r="M74" s="327"/>
      <c r="N74" s="324"/>
    </row>
    <row r="75" spans="8:14" ht="13.5">
      <c r="H75" s="325">
        <f>IF('技能'!O38&lt;0.5,"",IF(COUNTBLANK($H$48:H74)=J75,CONCATENATE('技能'!B38,I75),CONCATENATE("、",'技能'!B38,I75)))</f>
      </c>
      <c r="I75" s="330">
        <f>IF('技能'!E38&gt;0,CONCATENATE("+",'技能'!E38),'技能'!E38)</f>
        <v>0</v>
      </c>
      <c r="J75" s="326">
        <v>27</v>
      </c>
      <c r="K75" s="326">
        <f>IF(OR('能力'!CB36=TRUE,'能力'!AZ74=""),"",IF(COUNTBLANK($K$48:K74)=J74,'能力'!AZ74,CONCATENATE("、",'能力'!AZ74)))</f>
      </c>
      <c r="L75" s="326">
        <f>IF(OR('能力'!CB36=FALSE,'能力'!AZ74=""),"",IF(COUNTBLANK($L$48:L74)=J75,'能力'!AZ74,CONCATENATE("、",'能力'!AZ74)))</f>
      </c>
      <c r="M75" s="327"/>
      <c r="N75" s="324"/>
    </row>
    <row r="76" spans="8:14" ht="13.5">
      <c r="H76" s="325">
        <f>IF('技能'!O39&lt;0.5,"",IF(COUNTBLANK($H$48:H75)=J76,CONCATENATE('技能'!B39,I76),CONCATENATE("、",'技能'!B39,I76)))</f>
      </c>
      <c r="I76" s="330">
        <f>IF('技能'!E39&gt;0,CONCATENATE("+",'技能'!E39),'技能'!E39)</f>
        <v>0</v>
      </c>
      <c r="J76" s="326">
        <v>28</v>
      </c>
      <c r="K76" s="326">
        <f>IF(OR('能力'!CB37=TRUE,'能力'!AZ75=""),"",IF(COUNTBLANK($K$48:K75)=J75,'能力'!AZ75,CONCATENATE("、",'能力'!AZ75)))</f>
      </c>
      <c r="L76" s="326">
        <f>IF(OR('能力'!CB37=FALSE,'能力'!AZ75=""),"",IF(COUNTBLANK($L$48:L75)=J76,'能力'!AZ75,CONCATENATE("、",'能力'!AZ75)))</f>
      </c>
      <c r="M76" s="327"/>
      <c r="N76" s="324"/>
    </row>
    <row r="77" spans="8:14" ht="13.5">
      <c r="H77" s="325">
        <f>IF('技能'!O40&lt;0.5,"",IF(COUNTBLANK($H$48:H76)=J77,CONCATENATE('技能'!B40,I77),CONCATENATE("、",'技能'!B40,I77)))</f>
      </c>
      <c r="I77" s="330">
        <f>IF('技能'!E40&gt;0,CONCATENATE("+",'技能'!E40),'技能'!E40)</f>
        <v>0</v>
      </c>
      <c r="J77" s="326">
        <v>29</v>
      </c>
      <c r="K77" s="326">
        <f>IF(OR('能力'!CB38=TRUE,'能力'!AZ76=""),"",IF(COUNTBLANK($K$48:K76)=J76,'能力'!AZ76,CONCATENATE("、",'能力'!AZ76)))</f>
      </c>
      <c r="L77" s="326">
        <f>IF(OR('能力'!CB38=FALSE,'能力'!AZ76=""),"",IF(COUNTBLANK($L$48:L76)=J77,'能力'!AZ76,CONCATENATE("、",'能力'!AZ76)))</f>
      </c>
      <c r="M77" s="327"/>
      <c r="N77" s="324"/>
    </row>
    <row r="78" spans="8:14" ht="13.5">
      <c r="H78" s="325">
        <f>IF('技能'!O41&lt;0.5,"",IF(COUNTBLANK($H$48:H77)=J78,CONCATENATE('技能'!B41,I78),CONCATENATE("、",'技能'!B41,I78)))</f>
      </c>
      <c r="I78" s="330">
        <f>IF('技能'!E41&gt;0,CONCATENATE("+",'技能'!E41),'技能'!E41)</f>
        <v>0</v>
      </c>
      <c r="J78" s="326">
        <v>30</v>
      </c>
      <c r="K78" s="326">
        <f>IF(OR('能力'!CB39=TRUE,'能力'!AZ77=""),"",IF(COUNTBLANK($K$48:K77)=J77,'能力'!AZ77,CONCATENATE("、",'能力'!AZ77)))</f>
      </c>
      <c r="L78" s="326">
        <f>IF(OR('能力'!CB39=FALSE,'能力'!AZ77=""),"",IF(COUNTBLANK($L$48:L77)=J78,'能力'!AZ77,CONCATENATE("、",'能力'!AZ77)))</f>
      </c>
      <c r="M78" s="327"/>
      <c r="N78" s="324"/>
    </row>
    <row r="79" spans="8:14" ht="13.5">
      <c r="H79" s="325">
        <f>IF('技能'!O42&lt;0.5,"",IF(COUNTBLANK($H$48:H78)=J79,CONCATENATE('技能'!B42,I79),CONCATENATE("、",'技能'!B42,I79)))</f>
      </c>
      <c r="I79" s="330" t="str">
        <f>IF('技能'!E42&gt;0,CONCATENATE("+",'技能'!E42),'技能'!E42)</f>
        <v>+-</v>
      </c>
      <c r="J79" s="326">
        <v>31</v>
      </c>
      <c r="K79" s="326">
        <f>IF(OR('能力'!CB40=TRUE,'能力'!AZ78=""),"",IF(COUNTBLANK($K$48:K78)=J78,'能力'!AZ78,CONCATENATE("、",'能力'!AZ78)))</f>
      </c>
      <c r="L79" s="326">
        <f>IF(OR('能力'!CB40=FALSE,'能力'!AZ78=""),"",IF(COUNTBLANK($L$48:L78)=J79,'能力'!AZ78,CONCATENATE("、",'能力'!AZ78)))</f>
      </c>
      <c r="M79" s="327"/>
      <c r="N79" s="324"/>
    </row>
    <row r="80" spans="8:14" ht="13.5">
      <c r="H80" s="325">
        <f>IF('技能'!O43&lt;0.5,"",IF(COUNTBLANK($H$48:H79)=J80,CONCATENATE('技能'!B43,I80),CONCATENATE("、",'技能'!B43,I80)))</f>
      </c>
      <c r="I80" s="330" t="str">
        <f>IF('技能'!E43&gt;0,CONCATENATE("+",'技能'!E43),'技能'!E43)</f>
        <v>+-</v>
      </c>
      <c r="J80" s="326">
        <v>32</v>
      </c>
      <c r="K80" s="332">
        <f>IF(OR('能力'!CB41=TRUE,'能力'!AZ79=""),"",IF(COUNTBLANK($K$48:K79)=J79,'能力'!AZ79,CONCATENATE("、",'能力'!AZ79)))</f>
      </c>
      <c r="L80" s="332">
        <f>IF(OR('能力'!CB41=FALSE,'能力'!AZ79=""),"",IF(COUNTBLANK($L$48:L79)=J80,'能力'!AZ79,CONCATENATE("、",'能力'!AZ79)))</f>
      </c>
      <c r="M80" s="327"/>
      <c r="N80" s="324"/>
    </row>
    <row r="81" spans="8:14" ht="13.5">
      <c r="H81" s="325">
        <f>IF('技能'!O44&lt;0.5,"",IF(COUNTBLANK($H$48:H80)=J81,CONCATENATE('技能'!B44,I81),CONCATENATE("、",'技能'!B44,I81)))</f>
      </c>
      <c r="I81" s="330" t="str">
        <f>IF('技能'!E44&gt;0,CONCATENATE("+",'技能'!E44),'技能'!E44)</f>
        <v>+-</v>
      </c>
      <c r="J81" s="326">
        <v>33</v>
      </c>
      <c r="K81" s="326">
        <f>IF('能力'!BS21=1,IF(COUNTBLANK($K$48:K80)=J81,"夜目",CONCATENATE("、","夜目")),"")</f>
      </c>
      <c r="L81" s="326">
        <f>IF('能力'!L68&gt;=1,IF(COUNTBLANK($L$48:L80)=J81,CONCATENATE("呪文(",'能力'!C68,'能力'!L68,")"),CONCATENATE("、呪文(",'能力'!C68,'能力'!L68,")")),"")</f>
      </c>
      <c r="M81" s="327"/>
      <c r="N81" s="324"/>
    </row>
    <row r="82" spans="8:14" ht="13.5">
      <c r="H82" s="325">
        <f>IF('技能'!O49&lt;0.5,"",IF(COUNTBLANK($H$48:H81)=J82,CONCATENATE('技能'!B49,I82),CONCATENATE("、",'技能'!B49,I82)))</f>
      </c>
      <c r="I82" s="330" t="str">
        <f>IF('技能'!E49&gt;0,CONCATENATE("+",'技能'!E49),'技能'!E49)</f>
        <v>+-</v>
      </c>
      <c r="J82" s="326">
        <v>34</v>
      </c>
      <c r="K82" s="326">
        <f>IF('能力'!BS23=1,IF(COUNTBLANK($K$48:K81)=J82,"鋭敏嗅覚",CONCATENATE("、","鋭敏嗅覚")),"")</f>
      </c>
      <c r="L82" s="326">
        <f>IF('能力'!L72&gt;=1,IF(COUNTBLANK($L$48:L81)=J82,CONCATENATE("呪文(",'能力'!C72,'能力'!L72,")"),CONCATENATE("、呪文(",'能力'!C72,'能力'!L72,")")),"")</f>
      </c>
      <c r="M82" s="327"/>
      <c r="N82" s="324"/>
    </row>
    <row r="83" spans="8:14" ht="13.5">
      <c r="H83" s="325">
        <f>IF('技能'!O47&lt;0.5,"",IF(COUNTBLANK($H$48:H82)=J83,CONCATENATE('技能'!B47,I83),CONCATENATE("、",'技能'!B47,I83)))</f>
      </c>
      <c r="I83" s="330" t="str">
        <f>IF('技能'!E47&gt;0,CONCATENATE("+",'技能'!E47),'技能'!E47)</f>
        <v>+-</v>
      </c>
      <c r="J83" s="326">
        <v>35</v>
      </c>
      <c r="K83" s="326">
        <f>IF('能力'!BF87&gt;=1,IF(COUNTBLANK($K$48:K82)=J83,CONCATENATE("暗視:",'能力'!BF87,"フィート"),CONCATENATE(", 暗視:",'能力'!BF87,"フィート")),"")</f>
      </c>
      <c r="L83" s="332">
        <f>IF('能力'!L76&gt;=1,IF(COUNTBLANK($L$48:L82)=J83,CONCATENATE("サイオニクス(",'能力'!C76,'能力'!L76,")"),CONCATENATE("、サイオニクス(",'能力'!C76,'能力'!L76,")")),"")</f>
      </c>
      <c r="M83" s="327"/>
      <c r="N83" s="324"/>
    </row>
    <row r="84" spans="8:14" ht="13.5">
      <c r="H84" s="325">
        <f>IF('技能'!O48&lt;0.5,"",IF(COUNTBLANK($H$48:H83)=J84,CONCATENATE('技能'!B48,I84),CONCATENATE("、",'技能'!B48,I84)))</f>
      </c>
      <c r="I84" s="330">
        <f>IF('技能'!E48&gt;0,CONCATENATE("+",'技能'!E48),'技能'!E48)</f>
        <v>0</v>
      </c>
      <c r="J84" s="326">
        <v>36</v>
      </c>
      <c r="K84" s="326">
        <f>IF('能力'!BF88&gt;=1,IF(COUNTBLANK($K$48:K83)=J84,CONCATENATE("非視覚的感知:",'能力'!BF88,"フィート"),CONCATENATE(", 非視覚的感知:",'能力'!BF88,"フィート")),"")</f>
      </c>
      <c r="L84" s="324"/>
      <c r="M84" s="327"/>
      <c r="N84" s="324"/>
    </row>
    <row r="85" spans="8:14" ht="13.5">
      <c r="H85" s="325">
        <f>IF('技能'!O46&lt;0.5,"",IF(COUNTBLANK($H$48:H84)=J85,CONCATENATE('技能'!B46,I85),CONCATENATE("、",'技能'!B46,I85)))</f>
      </c>
      <c r="I85" s="330">
        <f>IF('技能'!E46&gt;0,CONCATENATE("+",'技能'!E46),'技能'!E46)</f>
        <v>0</v>
      </c>
      <c r="J85" s="326">
        <v>37</v>
      </c>
      <c r="K85" s="326">
        <f>IF('能力'!BF90&gt;=1,IF(COUNTBLANK($K$48:K84)=J85,CONCATENATE("擬似視覚:",'能力'!BF90,"フィート"),CONCATENATE(", 擬似視覚:",'能力'!BF90,"フィート")),"")</f>
      </c>
      <c r="L85" s="326"/>
      <c r="M85" s="327"/>
      <c r="N85" s="324"/>
    </row>
    <row r="86" spans="8:14" ht="13.5">
      <c r="H86" s="325">
        <f>IF('技能'!O50&lt;0.5,"",IF(COUNTBLANK($H$48:H85)=J86,CONCATENATE('技能'!B50,I86),CONCATENATE("、",'技能'!B50,I86)))</f>
      </c>
      <c r="I86" s="330" t="str">
        <f>IF('技能'!E50&gt;0,CONCATENATE("+",'技能'!E50),'技能'!E50)</f>
        <v>+-</v>
      </c>
      <c r="J86" s="326">
        <v>38</v>
      </c>
      <c r="K86" s="332">
        <f>IF('能力'!BF92&gt;=1,IF(COUNTBLANK($K$48:K85)=J86,CONCATENATE("振動感知:",'能力'!BF92,"フィート"),CONCATENATE(", 振動感知:",'能力'!BF92,"フィート")),"")</f>
      </c>
      <c r="L86" s="326"/>
      <c r="M86" s="327"/>
      <c r="N86" s="324"/>
    </row>
    <row r="87" spans="8:14" ht="13.5">
      <c r="H87" s="325">
        <f>IF('技能'!O53&lt;0.5,"",IF(COUNTBLANK($H$48:H86)=J87,CONCATENATE('技能'!B53,I87),CONCATENATE("、",'技能'!B53,I87)))</f>
      </c>
      <c r="I87" s="330" t="str">
        <f>IF('技能'!E53&gt;0,CONCATENATE("+",'技能'!E53),'技能'!E53)</f>
        <v>+-</v>
      </c>
      <c r="J87" s="326">
        <v>39</v>
      </c>
      <c r="K87" s="333">
        <f>IF('能力'!AN86="","",IF(COUNTBLANK($K$48:K86)=J87,CONCATENATE("完全耐性(",'能力'!AN86,")"),CONCATENATE(", 完全耐性(",'能力'!AN86,")")))</f>
      </c>
      <c r="L87" s="326" t="s">
        <v>301</v>
      </c>
      <c r="M87" s="327"/>
      <c r="N87" s="324"/>
    </row>
    <row r="88" spans="8:14" ht="13.5">
      <c r="H88" s="325">
        <f>IF('技能'!O54&lt;0.5,"",IF(COUNTBLANK($H$48:H87)=J88,CONCATENATE('技能'!B54,I88),CONCATENATE("、",'技能'!B54,I88)))</f>
      </c>
      <c r="I88" s="330" t="str">
        <f>IF('技能'!E54&gt;0,CONCATENATE("+",'技能'!E54),'技能'!E54)</f>
        <v>+-</v>
      </c>
      <c r="J88" s="326">
        <v>40</v>
      </c>
      <c r="K88" s="326">
        <f>IF('能力'!BY25="","",IF(COUNTBLANK($K$48:K87)=J88,'能力'!BY25,CONCATENATE(", ",'能力'!BY25)))</f>
      </c>
      <c r="L88" s="319" t="s">
        <v>302</v>
      </c>
      <c r="M88" s="327"/>
      <c r="N88" s="324"/>
    </row>
    <row r="89" spans="8:14" ht="13.5">
      <c r="H89" s="325" t="str">
        <f>IF('技能'!O51&lt;0.5,"",IF(COUNTBLANK($H$48:H88)=J89,CONCATENATE('技能'!B51,I89),CONCATENATE("、",'技能'!B51,I89)))</f>
        <v>、Swim+16</v>
      </c>
      <c r="I89" s="330" t="str">
        <f>IF('技能'!E51&gt;0,CONCATENATE("+",'技能'!E51),'技能'!E51)</f>
        <v>+16</v>
      </c>
      <c r="J89" s="326">
        <v>41</v>
      </c>
      <c r="K89" s="326">
        <f>IF('能力'!BY26="","",IF(COUNTBLANK($K$48:K88)=J89,'能力'!BY26,CONCATENATE(", ",'能力'!BY26)))</f>
      </c>
      <c r="L89" s="319" t="s">
        <v>303</v>
      </c>
      <c r="M89" s="327"/>
      <c r="N89" s="324"/>
    </row>
    <row r="90" spans="8:14" ht="13.5">
      <c r="H90" s="325">
        <f>IF('技能'!O52&lt;0.5,"",IF(COUNTBLANK($H$48:H89)=J90,CONCATENATE('技能'!B52,I90),CONCATENATE("、",'技能'!B52,I90)))</f>
      </c>
      <c r="I90" s="330" t="str">
        <f>IF('技能'!E52&gt;0,CONCATENATE("+",'技能'!E52),'技能'!E52)</f>
        <v>+-</v>
      </c>
      <c r="J90" s="326">
        <v>42</v>
      </c>
      <c r="K90" s="326">
        <f>IF('能力'!BY27="","",IF(COUNTBLANK($K$48:K89)=J90,'能力'!BY27,CONCATENATE(", ",'能力'!BY27)))</f>
      </c>
      <c r="L90" s="319" t="s">
        <v>304</v>
      </c>
      <c r="M90" s="327"/>
      <c r="N90" s="324"/>
    </row>
    <row r="91" spans="8:14" ht="13.5">
      <c r="H91" s="325" t="str">
        <f>IF('技能'!O45&lt;0.5,"",IF(COUNTBLANK($H$48:H90)=J91,CONCATENATE('技能'!B45,I91),CONCATENATE("、",'技能'!B45,I91)))</f>
        <v>、Ride+9</v>
      </c>
      <c r="I91" s="330" t="str">
        <f>IF('技能'!E45&gt;0,CONCATENATE("+",'技能'!E45),'技能'!E45)</f>
        <v>+9</v>
      </c>
      <c r="J91" s="326">
        <v>43</v>
      </c>
      <c r="K91" s="326">
        <f>IF('能力'!BY28="","",IF(COUNTBLANK($K$48:K90)=J91,'能力'!BY28,CONCATENATE(", ",'能力'!BY28)))</f>
      </c>
      <c r="L91" s="319" t="s">
        <v>305</v>
      </c>
      <c r="M91" s="327"/>
      <c r="N91" s="324"/>
    </row>
    <row r="92" spans="8:14" ht="13.5">
      <c r="H92" s="325">
        <f>IF('技能'!O55&lt;0.5,"",IF(COUNTBLANK($H$48:H91)=J92,CONCATENATE('技能'!B55,I92),CONCATENATE("、",'技能'!B55,I92)))</f>
      </c>
      <c r="I92" s="330" t="str">
        <f>IF('技能'!E55&gt;0,CONCATENATE("+",'技能'!E55),'技能'!E55)</f>
        <v>+-</v>
      </c>
      <c r="J92" s="326">
        <v>44</v>
      </c>
      <c r="K92" s="326">
        <f>IF('能力'!BY29="","",IF(COUNTBLANK($K$48:K91)=J92,'能力'!BY29,CONCATENATE(", ",'能力'!BY29)))</f>
      </c>
      <c r="L92" s="319" t="s">
        <v>306</v>
      </c>
      <c r="M92" s="327"/>
      <c r="N92" s="324"/>
    </row>
    <row r="93" spans="8:14" ht="13.5">
      <c r="H93" s="325">
        <f>IF('技能'!O56&lt;0.5,"",IF(COUNTBLANK($H$48:H92)=J93,CONCATENATE('技能'!B56,I93),CONCATENATE("、",'技能'!B56,I93)))</f>
      </c>
      <c r="I93" s="330" t="str">
        <f>IF('技能'!E56&gt;0,CONCATENATE("+",'技能'!E56),'技能'!E56)</f>
        <v>+-</v>
      </c>
      <c r="J93" s="326">
        <v>45</v>
      </c>
      <c r="K93" s="326">
        <f>IF('能力'!AO92="","",IF(COUNTBLANK($K$48:K92)=J93,CONCATENATE("呪文抵抗",'能力'!AO92),CONCATENATE(", 呪文抵抗",'能力'!AO92)))</f>
      </c>
      <c r="L93" s="319" t="s">
        <v>216</v>
      </c>
      <c r="M93" s="327"/>
      <c r="N93" s="324"/>
    </row>
    <row r="94" spans="8:14" ht="13.5">
      <c r="H94" s="325">
        <f>IF('技能'!O57&lt;0.5,"",IF(COUNTBLANK($H$48:H93)=J94,CONCATENATE('技能'!B57,I94),CONCATENATE("、",'技能'!B57,I94)))</f>
      </c>
      <c r="I94" s="330" t="str">
        <f>IF('技能'!E57&gt;0,CONCATENATE("+",'技能'!E57),'技能'!E57)</f>
        <v>+-</v>
      </c>
      <c r="J94" s="326">
        <v>46</v>
      </c>
      <c r="K94" s="326">
        <f>IF('能力'!AQ92="","",IF(COUNTBLANK($K$48:K93)=J94,CONCATENATE("超能力抵抗",'能力'!AQ92),CONCATENATE(", パワー抵抗",'能力'!AQ92)))</f>
      </c>
      <c r="L94" s="319" t="s">
        <v>217</v>
      </c>
      <c r="M94" s="327"/>
      <c r="N94" s="324"/>
    </row>
    <row r="95" spans="8:14" ht="13.5">
      <c r="H95" s="325">
        <f>IF('技能'!O58&lt;0.5,"",IF(COUNTBLANK($H$48:H94)=J95,CONCATENATE('技能'!B58,I95),CONCATENATE("、",'技能'!B58,I95)))</f>
      </c>
      <c r="I95" s="330" t="str">
        <f>IF('技能'!E58&gt;0,CONCATENATE("+",'技能'!E58),'技能'!E58)</f>
        <v>+-</v>
      </c>
      <c r="J95" s="326">
        <v>47</v>
      </c>
      <c r="K95" s="326">
        <f>IF('能力'!AL93="","",IF(COUNTBLANK($K$48:K94)=J95,CONCATENATE("ダメージ減少(",'能力'!AL93,")"),CONCATENATE(", ダメージ減少(",'能力'!AL93,")")))</f>
      </c>
      <c r="L95" s="319" t="s">
        <v>307</v>
      </c>
      <c r="M95" s="327"/>
      <c r="N95" s="324"/>
    </row>
    <row r="96" spans="8:14" ht="13.5">
      <c r="H96" s="325">
        <f>IF('技能'!O59&lt;0.5,"",IF(COUNTBLANK($H$48:H95)=J96,CONCATENATE('技能'!B59,I96),CONCATENATE("、",'技能'!B59,I96)))</f>
      </c>
      <c r="I96" s="330" t="str">
        <f>IF('技能'!E59&gt;0,CONCATENATE("+",'技能'!E59),'技能'!E59)</f>
        <v>+-</v>
      </c>
      <c r="J96" s="326">
        <v>48</v>
      </c>
      <c r="K96" s="334" t="s">
        <v>308</v>
      </c>
      <c r="L96" s="334"/>
      <c r="M96" s="327"/>
      <c r="N96" s="324"/>
    </row>
    <row r="97" spans="8:14" ht="13.5">
      <c r="H97" s="325">
        <f>IF('技能'!O60&lt;0.5,"",IF(COUNTBLANK($H$48:H96)=J97,CONCATENATE('技能'!B60,I97),CONCATENATE("、",'技能'!B60,I97)))</f>
      </c>
      <c r="I97" s="330" t="str">
        <f>IF('技能'!E60&gt;0,CONCATENATE("+",'技能'!E60),'技能'!E60)</f>
        <v>+-</v>
      </c>
      <c r="J97" s="326">
        <v>49</v>
      </c>
      <c r="K97" s="319" t="str">
        <f>CONCATENATE(K48,K49,K50,K51,K52,K53,K54,K55,K56,K57,K58,K59,K60,K61,K62,K63)</f>
        <v>Rage 27Round/day、Lesser Beast Totem、Animal fury、Beast Totem、Strength Surge、Reckless Abandon</v>
      </c>
      <c r="L97" s="319">
        <f>CONCATENATE(L48,L49,L50,L51,L52,L53,L54,L55,L56,L57,L58,L59,L60,L61,L62,L63)</f>
      </c>
      <c r="M97" s="327"/>
      <c r="N97" s="324"/>
    </row>
    <row r="98" spans="8:14" ht="13.5">
      <c r="H98" s="325">
        <f>IF('技能'!O61&lt;0.5,"",IF(COUNTBLANK($H$48:H97)=J98,CONCATENATE('技能'!B61,I98),CONCATENATE("、",'技能'!B61,I98)))</f>
      </c>
      <c r="I98" s="330" t="str">
        <f>IF('技能'!E61&gt;0,CONCATENATE("+",'技能'!E61),'技能'!E61)</f>
        <v>+-</v>
      </c>
      <c r="J98" s="326">
        <v>50</v>
      </c>
      <c r="K98" s="334">
        <f>CONCATENATE(K64,K65,K66,K67,K68,K69,K70,K71,K72,K73,K74,K75,K76,K77,K78,K79,K80,)</f>
      </c>
      <c r="L98" s="334">
        <f>CONCATENATE(L64,L65,L66,L67,L68,L69,L70,L71,L72,L73,L74,L75,L76,L77,L78,L79,L80,)</f>
      </c>
      <c r="M98" s="327"/>
      <c r="N98" s="324"/>
    </row>
    <row r="99" spans="8:14" ht="13.5">
      <c r="H99" s="325">
        <f>IF('技能'!O62&lt;0.5,"",IF(COUNTBLANK($H$48:H98)=J99,CONCATENATE('技能'!B62,I99),CONCATENATE("、",'技能'!B62,I99)))</f>
      </c>
      <c r="I99" s="330" t="str">
        <f>IF('技能'!E62&gt;0,CONCATENATE("+",'技能'!E62),'技能'!E62)</f>
        <v>+-</v>
      </c>
      <c r="J99" s="326">
        <v>51</v>
      </c>
      <c r="K99" s="332">
        <f>CONCATENATE(K81,K82,K83,K84,K85,K86)</f>
      </c>
      <c r="M99" s="327"/>
      <c r="N99" s="324"/>
    </row>
    <row r="100" spans="8:14" ht="13.5">
      <c r="H100" s="325">
        <f>IF('技能'!O63&lt;0.5,"",IF(COUNTBLANK($H$48:H99)=J100,CONCATENATE('技能'!B63,I100),CONCATENATE("、",'技能'!B63,I100)))</f>
      </c>
      <c r="I100" s="330" t="str">
        <f>IF('技能'!E63&gt;0,CONCATENATE("+",'技能'!E63),'技能'!E63)</f>
        <v>+-</v>
      </c>
      <c r="J100" s="326">
        <v>52</v>
      </c>
      <c r="K100" s="332">
        <f>CONCATENATE(K87,K88,K89,K90,K91,K92,K93,K94,K95)</f>
      </c>
      <c r="M100" s="327"/>
      <c r="N100" s="324"/>
    </row>
    <row r="101" spans="8:14" ht="13.5">
      <c r="H101" s="325">
        <f>IF('技能'!O64&lt;0.5,"",IF(COUNTBLANK($H$48:H100)=J101,CONCATENATE('技能'!B64,I101),CONCATENATE("、",'技能'!B64,I101)))</f>
      </c>
      <c r="I101" s="330" t="str">
        <f>IF('技能'!E64&gt;0,CONCATENATE("+",'技能'!E64),'技能'!E64)</f>
        <v>+-</v>
      </c>
      <c r="J101" s="326">
        <v>53</v>
      </c>
      <c r="M101" s="327"/>
      <c r="N101" s="324"/>
    </row>
    <row r="102" spans="8:14" ht="13.5">
      <c r="H102" s="325">
        <f>IF('技能'!O65&lt;0.5,"",IF(COUNTBLANK($H$48:H101)=J102,CONCATENATE('技能'!B65,I102),CONCATENATE("、",'技能'!B65,I102)))</f>
      </c>
      <c r="I102" s="330" t="str">
        <f>IF('技能'!E65&gt;0,CONCATENATE("+",'技能'!E65),'技能'!E65)</f>
        <v>+-</v>
      </c>
      <c r="J102" s="326">
        <v>54</v>
      </c>
      <c r="M102" s="327"/>
      <c r="N102" s="324"/>
    </row>
    <row r="103" spans="8:14" ht="13.5">
      <c r="H103" s="325">
        <f>IF('技能'!O68&lt;0.5,"",IF(COUNTBLANK($H$48:H102)=J103,CONCATENATE('技能'!B68,I103),CONCATENATE("、",'技能'!B68,I103)))</f>
      </c>
      <c r="I103" s="330" t="str">
        <f>IF('技能'!E68&gt;0,CONCATENATE("+",'技能'!E68),'技能'!E68)</f>
        <v>+-</v>
      </c>
      <c r="J103" s="326">
        <v>55</v>
      </c>
      <c r="M103" s="327"/>
      <c r="N103" s="324"/>
    </row>
    <row r="104" spans="8:14" ht="13.5">
      <c r="H104" s="325">
        <f>IF('技能'!O69&lt;0.5,"",IF(COUNTBLANK($H$48:H103)=J104,CONCATENATE('技能'!B69,I104),CONCATENATE("、",'技能'!B69,I104)))</f>
      </c>
      <c r="I104" s="330" t="str">
        <f>IF('技能'!E69&gt;0,CONCATENATE("+",'技能'!E69),'技能'!E69)</f>
        <v>+-</v>
      </c>
      <c r="J104" s="326">
        <v>56</v>
      </c>
      <c r="M104" s="327"/>
      <c r="N104" s="324"/>
    </row>
    <row r="105" spans="8:14" ht="13.5">
      <c r="H105" s="325">
        <f>IF('技能'!O67&lt;0.5,"",IF(COUNTBLANK($H$48:H104)=J105,CONCATENATE('技能'!B67,I105),CONCATENATE("、",'技能'!B67,I105)))</f>
      </c>
      <c r="I105" s="330" t="str">
        <f>IF('技能'!E67&gt;0,CONCATENATE("+",'技能'!E67),'技能'!E67)</f>
        <v>+-</v>
      </c>
      <c r="J105" s="326">
        <v>57</v>
      </c>
      <c r="M105" s="327"/>
      <c r="N105" s="324"/>
    </row>
    <row r="106" spans="8:14" ht="13.5">
      <c r="H106" s="326">
        <f>IF('技能'!O70&lt;0.5,"",IF(COUNTBLANK($H$48:H105)=J106,CONCATENATE('技能'!B70,I106),CONCATENATE("、",'技能'!B70,I106)))</f>
      </c>
      <c r="I106" s="330" t="str">
        <f>IF('技能'!E70&gt;0,CONCATENATE("+",'技能'!E70),'技能'!E70)</f>
        <v>+-</v>
      </c>
      <c r="J106" s="326">
        <v>58</v>
      </c>
      <c r="K106" s="326"/>
      <c r="L106" s="326"/>
      <c r="M106" s="326"/>
      <c r="N106" s="324"/>
    </row>
  </sheetData>
  <sheetProtection/>
  <mergeCells count="34">
    <mergeCell ref="B2:C2"/>
    <mergeCell ref="B3:C3"/>
    <mergeCell ref="B6:C6"/>
    <mergeCell ref="B7:C7"/>
    <mergeCell ref="B9:C9"/>
    <mergeCell ref="B10:C10"/>
    <mergeCell ref="A12:A13"/>
    <mergeCell ref="B12:C12"/>
    <mergeCell ref="B13:C13"/>
    <mergeCell ref="B17:C17"/>
    <mergeCell ref="B18:C18"/>
    <mergeCell ref="B19:C19"/>
    <mergeCell ref="A14:A15"/>
    <mergeCell ref="B14:C14"/>
    <mergeCell ref="B15:C15"/>
    <mergeCell ref="B16:C16"/>
    <mergeCell ref="E2:F2"/>
    <mergeCell ref="E3:F3"/>
    <mergeCell ref="E4:F4"/>
    <mergeCell ref="E5:F5"/>
    <mergeCell ref="E10:F10"/>
    <mergeCell ref="E12:F12"/>
    <mergeCell ref="E13:F13"/>
    <mergeCell ref="E6:F6"/>
    <mergeCell ref="E7:F7"/>
    <mergeCell ref="E8:F8"/>
    <mergeCell ref="E9:F9"/>
    <mergeCell ref="E18:F18"/>
    <mergeCell ref="E19:F19"/>
    <mergeCell ref="E20:F20"/>
    <mergeCell ref="E14:F14"/>
    <mergeCell ref="E15:F15"/>
    <mergeCell ref="E16:F16"/>
    <mergeCell ref="E17:F17"/>
  </mergeCells>
  <conditionalFormatting sqref="B4:C20">
    <cfRule type="cellIs" priority="1" dxfId="80" operator="equal" stopIfTrue="1">
      <formula>0</formula>
    </cfRule>
  </conditionalFormatting>
  <printOptions/>
  <pageMargins left="0.1968503937007874" right="0.15748031496062992" top="0.15748031496062992" bottom="0.2362204724409449" header="0.5118110236220472" footer="0.5118110236220472"/>
  <pageSetup horizontalDpi="600" verticalDpi="600" orientation="portrait" paperSize="9" scale="14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DM連絡会（仮）</dc:creator>
  <cp:keywords/>
  <dc:description/>
  <cp:lastModifiedBy>jjj</cp:lastModifiedBy>
  <cp:lastPrinted>2008-09-09T12:50:02Z</cp:lastPrinted>
  <dcterms:created xsi:type="dcterms:W3CDTF">2007-03-18T10:41:04Z</dcterms:created>
  <dcterms:modified xsi:type="dcterms:W3CDTF">2013-01-24T12:26:08Z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